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0" windowWidth="11100" windowHeight="6105" tabRatio="968"/>
  </bookViews>
  <sheets>
    <sheet name="INTRO" sheetId="1" r:id="rId1"/>
    <sheet name=" BHKL NY LØN" sheetId="2" r:id="rId2"/>
    <sheet name="BHKL GL LØN" sheetId="3" r:id="rId3"/>
    <sheet name="LÆRER NY LØN " sheetId="4" r:id="rId4"/>
    <sheet name="LÆRER GL LØN " sheetId="5" r:id="rId5"/>
    <sheet name="Lejrskole, ulempe, weekend" sheetId="12" r:id="rId6"/>
    <sheet name="Dage" sheetId="13" r:id="rId7"/>
    <sheet name="DATABANK" sheetId="10" r:id="rId8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LØN'!$A$1:$H$49</definedName>
    <definedName name="_xlnm.Print_Area" localSheetId="2">'BHKL GL LØN'!$A$1:$I$36</definedName>
    <definedName name="_xlnm.Print_Area" localSheetId="7">DATABANK!$A$1:$G$113</definedName>
    <definedName name="_xlnm.Print_Area" localSheetId="4">'LÆRER GL LØN '!#REF!</definedName>
    <definedName name="_xlnm.Print_Area" localSheetId="3">'LÆRER NY LØN '!$A$1:$H$59</definedName>
  </definedNames>
  <calcPr calcId="145621" concurrentCalc="0"/>
</workbook>
</file>

<file path=xl/calcChain.xml><?xml version="1.0" encoding="utf-8"?>
<calcChain xmlns="http://schemas.openxmlformats.org/spreadsheetml/2006/main">
  <c r="D31" i="4" l="1"/>
  <c r="D18" i="5"/>
  <c r="D23" i="4"/>
  <c r="B32" i="5"/>
  <c r="F32" i="5"/>
  <c r="B46" i="4"/>
  <c r="B11" i="5"/>
  <c r="F13" i="5"/>
  <c r="G13" i="5"/>
  <c r="I13" i="5"/>
  <c r="F12" i="5"/>
  <c r="D13" i="5"/>
  <c r="D12" i="5"/>
  <c r="D22" i="5"/>
  <c r="D18" i="3"/>
  <c r="D29" i="5"/>
  <c r="D30" i="5"/>
  <c r="D31" i="5"/>
  <c r="D28" i="5"/>
  <c r="D43" i="4"/>
  <c r="D44" i="4"/>
  <c r="D45" i="4"/>
  <c r="D42" i="4"/>
  <c r="H51" i="4"/>
  <c r="H37" i="5"/>
  <c r="H11" i="12"/>
  <c r="G18" i="12"/>
  <c r="H18" i="12"/>
  <c r="G20" i="12"/>
  <c r="H20" i="12"/>
  <c r="G21" i="12"/>
  <c r="H21" i="12"/>
  <c r="G19" i="12"/>
  <c r="H19" i="12"/>
  <c r="B45" i="4"/>
  <c r="B44" i="4"/>
  <c r="B43" i="4"/>
  <c r="B42" i="4"/>
  <c r="B31" i="5"/>
  <c r="B30" i="5"/>
  <c r="B29" i="5"/>
  <c r="B28" i="5"/>
  <c r="B21" i="3"/>
  <c r="B20" i="3"/>
  <c r="B19" i="3"/>
  <c r="B18" i="3"/>
  <c r="B34" i="2"/>
  <c r="B33" i="2"/>
  <c r="B32" i="2"/>
  <c r="B31" i="2"/>
  <c r="C118" i="10"/>
  <c r="H22" i="12"/>
  <c r="I17" i="3"/>
  <c r="I27" i="5"/>
  <c r="C103" i="10"/>
  <c r="A103" i="10"/>
  <c r="C102" i="10"/>
  <c r="D28" i="4"/>
  <c r="F28" i="4"/>
  <c r="G12" i="5"/>
  <c r="I12" i="5"/>
  <c r="D5" i="3"/>
  <c r="D18" i="2"/>
  <c r="C3" i="13"/>
  <c r="D3" i="13"/>
  <c r="E3" i="13"/>
  <c r="F3" i="13"/>
  <c r="G3" i="13"/>
  <c r="H3" i="13"/>
  <c r="I3" i="13"/>
  <c r="J3" i="13"/>
  <c r="K3" i="13"/>
  <c r="L3" i="13"/>
  <c r="M3" i="13"/>
  <c r="B3" i="13"/>
  <c r="D14" i="13"/>
  <c r="B13" i="13"/>
  <c r="D13" i="13"/>
  <c r="E13" i="13"/>
  <c r="B11" i="13"/>
  <c r="D11" i="13"/>
  <c r="E9" i="13"/>
  <c r="B9" i="13"/>
  <c r="G6" i="13"/>
  <c r="D6" i="13"/>
  <c r="B15" i="13"/>
  <c r="D15" i="13"/>
  <c r="E11" i="13"/>
  <c r="E15" i="13"/>
  <c r="F6" i="5"/>
  <c r="B6" i="5"/>
  <c r="B6" i="4"/>
  <c r="H27" i="3"/>
  <c r="C84" i="10"/>
  <c r="D38" i="4"/>
  <c r="F38" i="4"/>
  <c r="G38" i="4"/>
  <c r="C86" i="10"/>
  <c r="D16" i="3"/>
  <c r="F16" i="3"/>
  <c r="G16" i="3"/>
  <c r="I16" i="3"/>
  <c r="C85" i="10"/>
  <c r="C83" i="10"/>
  <c r="D23" i="5"/>
  <c r="F23" i="5"/>
  <c r="G23" i="5"/>
  <c r="I23" i="5"/>
  <c r="A81" i="10"/>
  <c r="C82" i="10"/>
  <c r="D12" i="3"/>
  <c r="F12" i="3"/>
  <c r="G12" i="3"/>
  <c r="I12" i="3"/>
  <c r="C81" i="10"/>
  <c r="D36" i="4"/>
  <c r="F36" i="4"/>
  <c r="G36" i="4"/>
  <c r="C80" i="10"/>
  <c r="D35" i="4"/>
  <c r="F35" i="4"/>
  <c r="G35" i="4"/>
  <c r="C79" i="10"/>
  <c r="D21" i="5"/>
  <c r="F21" i="5"/>
  <c r="G21" i="5"/>
  <c r="I21" i="5"/>
  <c r="C78" i="10"/>
  <c r="D20" i="5"/>
  <c r="F20" i="5"/>
  <c r="G20" i="5"/>
  <c r="I20" i="5"/>
  <c r="D82" i="10"/>
  <c r="C76" i="10"/>
  <c r="D17" i="5"/>
  <c r="F17" i="5"/>
  <c r="G17" i="5"/>
  <c r="I17" i="5"/>
  <c r="C75" i="10"/>
  <c r="D29" i="4"/>
  <c r="F29" i="4"/>
  <c r="G29" i="4"/>
  <c r="C73" i="10"/>
  <c r="F31" i="5"/>
  <c r="G31" i="5"/>
  <c r="I31" i="5"/>
  <c r="C72" i="10"/>
  <c r="D20" i="3"/>
  <c r="F20" i="3"/>
  <c r="G20" i="3"/>
  <c r="I20" i="3"/>
  <c r="C71" i="10"/>
  <c r="F29" i="5"/>
  <c r="G29" i="5"/>
  <c r="I29" i="5"/>
  <c r="C70" i="10"/>
  <c r="F28" i="5"/>
  <c r="G28" i="5"/>
  <c r="I28" i="5"/>
  <c r="C67" i="10"/>
  <c r="F45" i="4"/>
  <c r="G45" i="4"/>
  <c r="C66" i="10"/>
  <c r="C65" i="10"/>
  <c r="C64" i="10"/>
  <c r="F42" i="4"/>
  <c r="G42" i="4"/>
  <c r="A89" i="10"/>
  <c r="A90" i="10"/>
  <c r="D28" i="2"/>
  <c r="D25" i="5"/>
  <c r="D39" i="4"/>
  <c r="D15" i="3"/>
  <c r="D14" i="3"/>
  <c r="F14" i="3"/>
  <c r="G14" i="3"/>
  <c r="I14" i="3"/>
  <c r="D24" i="5"/>
  <c r="F24" i="5"/>
  <c r="G24" i="5"/>
  <c r="I24" i="5"/>
  <c r="D27" i="2"/>
  <c r="F27" i="2"/>
  <c r="G27" i="2"/>
  <c r="D24" i="2"/>
  <c r="D29" i="2"/>
  <c r="F29" i="2"/>
  <c r="G29" i="2"/>
  <c r="D34" i="2"/>
  <c r="D13" i="3"/>
  <c r="F13" i="3"/>
  <c r="G13" i="3"/>
  <c r="I13" i="3"/>
  <c r="D19" i="3"/>
  <c r="F19" i="3"/>
  <c r="G19" i="3"/>
  <c r="I19" i="3"/>
  <c r="D40" i="4"/>
  <c r="F40" i="4"/>
  <c r="G40" i="4"/>
  <c r="F30" i="5"/>
  <c r="G30" i="5"/>
  <c r="I30" i="5"/>
  <c r="D7" i="3"/>
  <c r="F7" i="3"/>
  <c r="G7" i="3"/>
  <c r="I7" i="3"/>
  <c r="D25" i="2"/>
  <c r="F25" i="2"/>
  <c r="G25" i="2"/>
  <c r="D31" i="2"/>
  <c r="F31" i="2"/>
  <c r="F18" i="3"/>
  <c r="G18" i="3"/>
  <c r="I18" i="3"/>
  <c r="D33" i="4"/>
  <c r="F33" i="4"/>
  <c r="G33" i="4"/>
  <c r="D37" i="4"/>
  <c r="F37" i="4"/>
  <c r="G37" i="4"/>
  <c r="D30" i="4"/>
  <c r="F30" i="4"/>
  <c r="G30" i="4"/>
  <c r="F22" i="5"/>
  <c r="G22" i="5"/>
  <c r="I22" i="5"/>
  <c r="D26" i="5"/>
  <c r="F26" i="5"/>
  <c r="G26" i="5"/>
  <c r="I26" i="5"/>
  <c r="D22" i="2"/>
  <c r="D26" i="2"/>
  <c r="D32" i="2"/>
  <c r="F32" i="2"/>
  <c r="D10" i="3"/>
  <c r="F10" i="3"/>
  <c r="G10" i="3"/>
  <c r="I10" i="3"/>
  <c r="D21" i="3"/>
  <c r="F21" i="3"/>
  <c r="G21" i="3"/>
  <c r="I21" i="3"/>
  <c r="D34" i="4"/>
  <c r="F34" i="4"/>
  <c r="G34" i="4"/>
  <c r="F43" i="4"/>
  <c r="G43" i="4"/>
  <c r="D16" i="5"/>
  <c r="F16" i="5"/>
  <c r="G16" i="5"/>
  <c r="I16" i="5"/>
  <c r="F34" i="2"/>
  <c r="D19" i="2"/>
  <c r="F19" i="2"/>
  <c r="G19" i="2"/>
  <c r="D23" i="2"/>
  <c r="D33" i="2"/>
  <c r="F33" i="2"/>
  <c r="D11" i="3"/>
  <c r="F11" i="3"/>
  <c r="G11" i="3"/>
  <c r="I11" i="3"/>
  <c r="F44" i="4"/>
  <c r="G44" i="4"/>
  <c r="D30" i="13"/>
  <c r="B29" i="13"/>
  <c r="D29" i="13"/>
  <c r="E29" i="13"/>
  <c r="B27" i="13"/>
  <c r="D27" i="13"/>
  <c r="B26" i="13"/>
  <c r="E25" i="13"/>
  <c r="B25" i="13"/>
  <c r="J22" i="13"/>
  <c r="D22" i="13"/>
  <c r="M21" i="13"/>
  <c r="L21" i="13"/>
  <c r="K21" i="13"/>
  <c r="J21" i="13"/>
  <c r="I21" i="13"/>
  <c r="H21" i="13"/>
  <c r="G21" i="13"/>
  <c r="G22" i="13"/>
  <c r="F21" i="13"/>
  <c r="E21" i="13"/>
  <c r="D21" i="13"/>
  <c r="C21" i="13"/>
  <c r="C22" i="13"/>
  <c r="B21" i="13"/>
  <c r="B31" i="13"/>
  <c r="B28" i="13"/>
  <c r="E27" i="13"/>
  <c r="E31" i="13"/>
  <c r="D31" i="13"/>
  <c r="D48" i="13"/>
  <c r="B47" i="13"/>
  <c r="D47" i="13"/>
  <c r="E47" i="13"/>
  <c r="B45" i="13"/>
  <c r="D45" i="13"/>
  <c r="B44" i="13"/>
  <c r="E43" i="13"/>
  <c r="B43" i="13"/>
  <c r="M39" i="13"/>
  <c r="L39" i="13"/>
  <c r="K39" i="13"/>
  <c r="J39" i="13"/>
  <c r="J40" i="13"/>
  <c r="I39" i="13"/>
  <c r="H39" i="13"/>
  <c r="G39" i="13"/>
  <c r="G40" i="13"/>
  <c r="F39" i="13"/>
  <c r="E39" i="13"/>
  <c r="D39" i="13"/>
  <c r="D40" i="13"/>
  <c r="C39" i="13"/>
  <c r="C40" i="13"/>
  <c r="B39" i="13"/>
  <c r="B49" i="13"/>
  <c r="B46" i="13"/>
  <c r="E45" i="13"/>
  <c r="E49" i="13"/>
  <c r="D49" i="13"/>
  <c r="C88" i="10"/>
  <c r="B66" i="13"/>
  <c r="D65" i="13"/>
  <c r="B64" i="13"/>
  <c r="D64" i="13"/>
  <c r="E64" i="13"/>
  <c r="C56" i="13"/>
  <c r="D56" i="13"/>
  <c r="E56" i="13"/>
  <c r="F56" i="13"/>
  <c r="G56" i="13"/>
  <c r="H56" i="13"/>
  <c r="I56" i="13"/>
  <c r="J56" i="13"/>
  <c r="K56" i="13"/>
  <c r="L56" i="13"/>
  <c r="M56" i="13"/>
  <c r="B62" i="13"/>
  <c r="D62" i="13"/>
  <c r="B61" i="13"/>
  <c r="E60" i="13"/>
  <c r="B60" i="13"/>
  <c r="B56" i="13"/>
  <c r="D14" i="2"/>
  <c r="D17" i="2"/>
  <c r="D12" i="2"/>
  <c r="D11" i="2"/>
  <c r="D9" i="2"/>
  <c r="D8" i="2"/>
  <c r="D7" i="2"/>
  <c r="D6" i="3"/>
  <c r="D4" i="3"/>
  <c r="D4" i="2"/>
  <c r="E77" i="13"/>
  <c r="B79" i="13"/>
  <c r="D78" i="13"/>
  <c r="E78" i="13"/>
  <c r="C82" i="13"/>
  <c r="B82" i="13"/>
  <c r="C83" i="13"/>
  <c r="D82" i="13"/>
  <c r="B81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B78" i="13"/>
  <c r="B77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B94" i="13"/>
  <c r="E94" i="13"/>
  <c r="B95" i="13"/>
  <c r="B96" i="13"/>
  <c r="D95" i="13"/>
  <c r="B98" i="13"/>
  <c r="C99" i="13"/>
  <c r="B99" i="13"/>
  <c r="D21" i="4"/>
  <c r="D25" i="4"/>
  <c r="D20" i="4"/>
  <c r="D24" i="4"/>
  <c r="D18" i="4"/>
  <c r="D22" i="4"/>
  <c r="D17" i="4"/>
  <c r="D16" i="4"/>
  <c r="D14" i="4"/>
  <c r="D13" i="4"/>
  <c r="D12" i="4"/>
  <c r="D11" i="4"/>
  <c r="D8" i="4"/>
  <c r="D11" i="5"/>
  <c r="F11" i="5"/>
  <c r="D10" i="5"/>
  <c r="F10" i="5"/>
  <c r="D8" i="5"/>
  <c r="F8" i="5"/>
  <c r="C57" i="10"/>
  <c r="D15" i="4"/>
  <c r="C60" i="10"/>
  <c r="C92" i="10"/>
  <c r="C98" i="10"/>
  <c r="C100" i="10"/>
  <c r="C101" i="10"/>
  <c r="C94" i="10"/>
  <c r="C97" i="10"/>
  <c r="C99" i="10"/>
  <c r="C107" i="10"/>
  <c r="C61" i="10"/>
  <c r="E3" i="3"/>
  <c r="E7" i="4"/>
  <c r="G28" i="4"/>
  <c r="E3" i="2"/>
  <c r="F18" i="2"/>
  <c r="G18" i="2"/>
  <c r="C89" i="10"/>
  <c r="H40" i="2"/>
  <c r="C58" i="10"/>
  <c r="D6" i="2"/>
  <c r="C59" i="10"/>
  <c r="E111" i="13"/>
  <c r="B113" i="13"/>
  <c r="D112" i="13"/>
  <c r="E112" i="13"/>
  <c r="C116" i="13"/>
  <c r="C117" i="13"/>
  <c r="D116" i="13"/>
  <c r="B116" i="13"/>
  <c r="B115" i="13"/>
  <c r="B107" i="13"/>
  <c r="C107" i="13"/>
  <c r="D107" i="13"/>
  <c r="E107" i="13"/>
  <c r="F107" i="13"/>
  <c r="G107" i="13"/>
  <c r="H107" i="13"/>
  <c r="I107" i="13"/>
  <c r="J107" i="13"/>
  <c r="K107" i="13"/>
  <c r="L107" i="13"/>
  <c r="M107" i="13"/>
  <c r="B112" i="13"/>
  <c r="B111" i="13"/>
  <c r="C95" i="10"/>
  <c r="G3" i="12"/>
  <c r="H3" i="12"/>
  <c r="C96" i="10"/>
  <c r="G4" i="12"/>
  <c r="H4" i="12"/>
  <c r="C110" i="10"/>
  <c r="C111" i="10"/>
  <c r="C109" i="10"/>
  <c r="A6" i="4"/>
  <c r="A2" i="2"/>
  <c r="G31" i="2"/>
  <c r="F2" i="2"/>
  <c r="F2" i="3"/>
  <c r="C90" i="10"/>
  <c r="F31" i="4"/>
  <c r="G31" i="4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B56" i="10"/>
  <c r="C56" i="10"/>
  <c r="C106" i="10"/>
  <c r="C112" i="10"/>
  <c r="C113" i="10"/>
  <c r="B124" i="13"/>
  <c r="C124" i="13"/>
  <c r="D124" i="13"/>
  <c r="E124" i="13"/>
  <c r="F124" i="13"/>
  <c r="G124" i="13"/>
  <c r="H124" i="13"/>
  <c r="I124" i="13"/>
  <c r="J124" i="13"/>
  <c r="K124" i="13"/>
  <c r="L124" i="13"/>
  <c r="B127" i="13"/>
  <c r="B128" i="13"/>
  <c r="B129" i="13"/>
  <c r="B131" i="13"/>
  <c r="F5" i="12"/>
  <c r="B7" i="12"/>
  <c r="F6" i="4"/>
  <c r="F19" i="4"/>
  <c r="G19" i="4"/>
  <c r="F6" i="3"/>
  <c r="G6" i="3"/>
  <c r="F5" i="3"/>
  <c r="G5" i="3"/>
  <c r="D8" i="3"/>
  <c r="F8" i="3"/>
  <c r="G8" i="3"/>
  <c r="I8" i="3"/>
  <c r="D20" i="2"/>
  <c r="D14" i="5"/>
  <c r="F14" i="5"/>
  <c r="G14" i="5"/>
  <c r="I14" i="5"/>
  <c r="D26" i="4"/>
  <c r="F26" i="4"/>
  <c r="G26" i="4"/>
  <c r="D9" i="3"/>
  <c r="F9" i="3"/>
  <c r="G9" i="3"/>
  <c r="I9" i="3"/>
  <c r="D32" i="4"/>
  <c r="F32" i="4"/>
  <c r="G32" i="4"/>
  <c r="D21" i="2"/>
  <c r="D19" i="5"/>
  <c r="F19" i="5"/>
  <c r="G19" i="5"/>
  <c r="I19" i="5"/>
  <c r="D32" i="5"/>
  <c r="D23" i="3"/>
  <c r="F23" i="3"/>
  <c r="G23" i="3"/>
  <c r="I23" i="3"/>
  <c r="D36" i="2"/>
  <c r="D15" i="5"/>
  <c r="F15" i="5"/>
  <c r="G15" i="5"/>
  <c r="I15" i="5"/>
  <c r="D27" i="4"/>
  <c r="F27" i="4"/>
  <c r="G27" i="4"/>
  <c r="F4" i="2"/>
  <c r="G4" i="2"/>
  <c r="F39" i="4"/>
  <c r="G39" i="4"/>
  <c r="F15" i="3"/>
  <c r="G15" i="3"/>
  <c r="I15" i="3"/>
  <c r="F25" i="5"/>
  <c r="G25" i="5"/>
  <c r="I25" i="5"/>
  <c r="D39" i="2"/>
  <c r="F39" i="2"/>
  <c r="G39" i="2"/>
  <c r="D36" i="5"/>
  <c r="F36" i="5"/>
  <c r="D50" i="4"/>
  <c r="F50" i="4"/>
  <c r="G50" i="4"/>
  <c r="D26" i="3"/>
  <c r="F26" i="3"/>
  <c r="G26" i="3"/>
  <c r="I26" i="3"/>
  <c r="D35" i="5"/>
  <c r="F35" i="5"/>
  <c r="D49" i="4"/>
  <c r="F49" i="4"/>
  <c r="G49" i="4"/>
  <c r="D25" i="3"/>
  <c r="F25" i="3"/>
  <c r="G25" i="3"/>
  <c r="I25" i="3"/>
  <c r="D38" i="2"/>
  <c r="F38" i="2"/>
  <c r="G38" i="2"/>
  <c r="D34" i="5"/>
  <c r="F34" i="5"/>
  <c r="D48" i="4"/>
  <c r="F48" i="4"/>
  <c r="G48" i="4"/>
  <c r="D24" i="3"/>
  <c r="F24" i="3"/>
  <c r="G24" i="3"/>
  <c r="I24" i="3"/>
  <c r="D37" i="2"/>
  <c r="F37" i="2"/>
  <c r="G37" i="2"/>
  <c r="F18" i="5"/>
  <c r="G18" i="5"/>
  <c r="I18" i="5"/>
  <c r="D35" i="2"/>
  <c r="D33" i="5"/>
  <c r="F33" i="5"/>
  <c r="D47" i="4"/>
  <c r="F47" i="4"/>
  <c r="G47" i="4"/>
  <c r="D22" i="3"/>
  <c r="F22" i="3"/>
  <c r="G22" i="3"/>
  <c r="I22" i="3"/>
  <c r="F4" i="3"/>
  <c r="F9" i="2"/>
  <c r="G9" i="2"/>
  <c r="F11" i="2"/>
  <c r="G11" i="2"/>
  <c r="F13" i="2"/>
  <c r="G13" i="2"/>
  <c r="F7" i="2"/>
  <c r="G7" i="2"/>
  <c r="F12" i="2"/>
  <c r="G12" i="2"/>
  <c r="F6" i="2"/>
  <c r="G6" i="2"/>
  <c r="F8" i="2"/>
  <c r="G8" i="2"/>
  <c r="F17" i="2"/>
  <c r="G17" i="2"/>
  <c r="F20" i="4"/>
  <c r="G20" i="4"/>
  <c r="F14" i="2"/>
  <c r="G14" i="2"/>
  <c r="F23" i="2"/>
  <c r="G23" i="2"/>
  <c r="F14" i="4"/>
  <c r="D98" i="13"/>
  <c r="E98" i="13"/>
  <c r="D81" i="13"/>
  <c r="E81" i="13"/>
  <c r="E83" i="13"/>
  <c r="D10" i="2"/>
  <c r="F10" i="2"/>
  <c r="G10" i="2"/>
  <c r="D9" i="5"/>
  <c r="F9" i="5"/>
  <c r="D15" i="2"/>
  <c r="F15" i="2"/>
  <c r="G15" i="2"/>
  <c r="G11" i="5"/>
  <c r="I11" i="5"/>
  <c r="B130" i="13"/>
  <c r="F28" i="2"/>
  <c r="G28" i="2"/>
  <c r="G10" i="5"/>
  <c r="F20" i="2"/>
  <c r="G20" i="2"/>
  <c r="D115" i="13"/>
  <c r="D117" i="13"/>
  <c r="F13" i="4"/>
  <c r="G13" i="4"/>
  <c r="C100" i="13"/>
  <c r="D99" i="13"/>
  <c r="B63" i="13"/>
  <c r="F21" i="2"/>
  <c r="G21" i="2"/>
  <c r="D10" i="4"/>
  <c r="F10" i="4"/>
  <c r="G10" i="4"/>
  <c r="F22" i="2"/>
  <c r="G22" i="2"/>
  <c r="D16" i="2"/>
  <c r="F16" i="2"/>
  <c r="G16" i="2"/>
  <c r="F26" i="2"/>
  <c r="G26" i="2"/>
  <c r="F35" i="2"/>
  <c r="G35" i="2"/>
  <c r="D46" i="4"/>
  <c r="F46" i="4"/>
  <c r="G34" i="2"/>
  <c r="F24" i="2"/>
  <c r="G24" i="2"/>
  <c r="H5" i="12"/>
  <c r="F36" i="2"/>
  <c r="G36" i="2"/>
  <c r="E115" i="13"/>
  <c r="E117" i="13"/>
  <c r="D66" i="13"/>
  <c r="E62" i="13"/>
  <c r="E66" i="13"/>
  <c r="E95" i="13"/>
  <c r="E100" i="13"/>
  <c r="F22" i="4"/>
  <c r="G22" i="4"/>
  <c r="F15" i="4"/>
  <c r="G15" i="4"/>
  <c r="F25" i="4"/>
  <c r="G25" i="4"/>
  <c r="F16" i="4"/>
  <c r="G16" i="4"/>
  <c r="F12" i="4"/>
  <c r="G12" i="4"/>
  <c r="F8" i="4"/>
  <c r="F18" i="4"/>
  <c r="G18" i="4"/>
  <c r="F24" i="4"/>
  <c r="G24" i="4"/>
  <c r="F11" i="4"/>
  <c r="G11" i="4"/>
  <c r="F17" i="4"/>
  <c r="G17" i="4"/>
  <c r="F21" i="4"/>
  <c r="G21" i="4"/>
  <c r="B114" i="13"/>
  <c r="B97" i="13"/>
  <c r="G33" i="2"/>
  <c r="B80" i="13"/>
  <c r="G33" i="5"/>
  <c r="I33" i="5"/>
  <c r="G36" i="5"/>
  <c r="I36" i="5"/>
  <c r="G34" i="5"/>
  <c r="I34" i="5"/>
  <c r="G35" i="5"/>
  <c r="I35" i="5"/>
  <c r="G32" i="5"/>
  <c r="I32" i="5"/>
  <c r="I27" i="3"/>
  <c r="G4" i="3"/>
  <c r="F27" i="3"/>
  <c r="G27" i="3"/>
  <c r="G28" i="3"/>
  <c r="G8" i="5"/>
  <c r="G14" i="4"/>
  <c r="D83" i="13"/>
  <c r="D100" i="13"/>
  <c r="G9" i="5"/>
  <c r="F23" i="4"/>
  <c r="G23" i="4"/>
  <c r="G8" i="4"/>
  <c r="I37" i="5"/>
  <c r="F37" i="5"/>
  <c r="G46" i="4"/>
  <c r="F51" i="4"/>
  <c r="G51" i="4"/>
  <c r="G52" i="4"/>
  <c r="G32" i="2"/>
  <c r="F40" i="2"/>
  <c r="G40" i="2"/>
  <c r="G41" i="2"/>
  <c r="G37" i="5"/>
  <c r="G38" i="5"/>
  <c r="B10" i="13"/>
  <c r="B12" i="13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48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&amp; Eva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<sst xmlns="http://schemas.openxmlformats.org/spreadsheetml/2006/main" count="609" uniqueCount="188">
  <si>
    <t>LØNTABEL</t>
  </si>
  <si>
    <t>pr.31.3.00</t>
  </si>
  <si>
    <t>lejrskole, hv</t>
  </si>
  <si>
    <t>lejrskole, lsh</t>
  </si>
  <si>
    <t>I ALT</t>
  </si>
  <si>
    <t>Øvelseslæ</t>
  </si>
  <si>
    <t>Lærer, Ny Løn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</si>
  <si>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</si>
  <si>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</si>
  <si>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</si>
  <si>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</si>
  <si>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</si>
  <si>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</si>
  <si>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</si>
  <si>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</si>
  <si>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</si>
  <si>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</si>
  <si>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MÅNEDSLØN</t>
  </si>
  <si>
    <t>ÅRSLØN</t>
  </si>
  <si>
    <t>Beskæftigelsesgrad:</t>
  </si>
  <si>
    <t>Lønsats pr:</t>
  </si>
  <si>
    <t>do ikke udd</t>
  </si>
  <si>
    <t>Timelø.udd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</si>
  <si>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</si>
  <si>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</si>
  <si>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</si>
  <si>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</si>
  <si>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</si>
  <si>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</si>
  <si>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</si>
  <si>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</si>
  <si>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</si>
  <si>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</si>
  <si>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</si>
  <si>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</si>
  <si>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</si>
  <si>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</si>
  <si>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</si>
  <si>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</si>
  <si>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</si>
  <si>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</si>
  <si>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</si>
  <si>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</si>
  <si>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</si>
  <si>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</si>
  <si>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</si>
  <si>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</si>
  <si>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</si>
  <si>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</si>
  <si>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</si>
  <si>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</si>
  <si>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</si>
  <si>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</si>
  <si>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</si>
  <si>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Centralt tillæg</t>
  </si>
  <si>
    <t>0-3 års anciennitet</t>
  </si>
  <si>
    <t>4-7 års anciennitet</t>
  </si>
  <si>
    <t>8-11 års anciennitet</t>
  </si>
  <si>
    <t>Uv-vejleder</t>
  </si>
  <si>
    <t>pr. år</t>
  </si>
  <si>
    <t>Min. 12 års ancien.</t>
  </si>
  <si>
    <t>Undervisningsvejleder</t>
  </si>
  <si>
    <t>Bhkl., Lukkede gruppe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</si>
  <si>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</si>
  <si>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</si>
  <si>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</si>
  <si>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</si>
  <si>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</si>
  <si>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</si>
  <si>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Se "farven på lønnen":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</si>
  <si>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</si>
  <si>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</si>
  <si>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</si>
  <si>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</si>
  <si>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</si>
  <si>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</si>
  <si>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</si>
  <si>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</si>
  <si>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Venlig hilsen BLF</t>
  </si>
  <si>
    <t>FORBEREDELSER</t>
  </si>
  <si>
    <t>Du skal have to papirer parat:</t>
  </si>
  <si>
    <t>Brun tekst: tal fra din lønseddel</t>
  </si>
  <si>
    <t>KREATIV BOGFØRING</t>
  </si>
  <si>
    <t>TR</t>
  </si>
  <si>
    <t>Lærere på OI og KA</t>
  </si>
  <si>
    <t xml:space="preserve"> </t>
  </si>
  <si>
    <t>*din aktivitetsplan/opgaveoversigt</t>
  </si>
  <si>
    <t>*din lønseddel</t>
  </si>
  <si>
    <t>Skoledagene kan variere fra skole til skole hen over året, men</t>
  </si>
  <si>
    <t>det samlede tal er 200.</t>
  </si>
  <si>
    <t>2012/13</t>
  </si>
  <si>
    <t>2011/12</t>
  </si>
  <si>
    <t>2013/14</t>
  </si>
  <si>
    <t xml:space="preserve">Undtagelser:   øvelsesskolelærere, flexjobbere, kombinationsbeskæftigede, frikøbte til organisationsarbejde og andre med særlige vilkår samt ikke-uddannede skal håndberegnes.         Spørg TR eller kredskontoret </t>
  </si>
  <si>
    <t>1.1.2014</t>
  </si>
  <si>
    <t>Særligt tillæg</t>
  </si>
  <si>
    <t>Undervisningstillæg for ansatte på ny løn</t>
  </si>
  <si>
    <t>op til 700</t>
  </si>
  <si>
    <t>701-735</t>
  </si>
  <si>
    <t>736-770</t>
  </si>
  <si>
    <t>771-800</t>
  </si>
  <si>
    <t>Undervisningstillæg for ansatte på anc.løn</t>
  </si>
  <si>
    <t>Ulempegodtg</t>
  </si>
  <si>
    <t>Alle</t>
  </si>
  <si>
    <t>KA ekstra</t>
  </si>
  <si>
    <t>FTR</t>
  </si>
  <si>
    <t>FTR-S</t>
  </si>
  <si>
    <t>TR ny løn</t>
  </si>
  <si>
    <t>fast</t>
  </si>
  <si>
    <t>pr medarb.</t>
  </si>
  <si>
    <t>TR anc.løn</t>
  </si>
  <si>
    <t>FAMR</t>
  </si>
  <si>
    <t>AMR</t>
  </si>
  <si>
    <t>Repr skoleb.</t>
  </si>
  <si>
    <t>bhkl</t>
  </si>
  <si>
    <t>lærere</t>
  </si>
  <si>
    <t>Cand P/PD</t>
  </si>
  <si>
    <t>OK §5,9 bhkl</t>
  </si>
  <si>
    <t>KA, OI</t>
  </si>
  <si>
    <t>OK §5,3</t>
  </si>
  <si>
    <t>2 løntrin u. 4 års anc.</t>
  </si>
  <si>
    <t>4 løntrin alle</t>
  </si>
  <si>
    <t>Ulempegodtgørelse</t>
  </si>
  <si>
    <t>Uv-timer 0-700 t.</t>
  </si>
  <si>
    <t>Cand Pæd/PD</t>
  </si>
  <si>
    <t>Fælles-TR</t>
  </si>
  <si>
    <t>Fælles-TR-sup</t>
  </si>
  <si>
    <t>TR, antal medarb</t>
  </si>
  <si>
    <t>Fælles-AMR-sup</t>
  </si>
  <si>
    <t>Fælles-AMR</t>
  </si>
  <si>
    <t>FAMR-S</t>
  </si>
  <si>
    <t>pr. år pr. medarb.</t>
  </si>
  <si>
    <t>Repr. i skolebest.</t>
  </si>
  <si>
    <t>Undervisningstimer:</t>
  </si>
  <si>
    <t>Uv-timer 701-735 t.</t>
  </si>
  <si>
    <t>Uv-timer 736-770 t.</t>
  </si>
  <si>
    <t>Uv-timer 771-800 t.</t>
  </si>
  <si>
    <t>Lærer på UUM</t>
  </si>
  <si>
    <t>2 løntrin 0-4 år</t>
  </si>
  <si>
    <t>3 løntrin alle</t>
  </si>
  <si>
    <t>1 løntrin alle</t>
  </si>
  <si>
    <t>Ulempegodtgørelse ekstra KA</t>
  </si>
  <si>
    <t>Lærer på OI</t>
  </si>
  <si>
    <t>Lærer på KA</t>
  </si>
  <si>
    <t>OK § 5,3 OI og KA</t>
  </si>
  <si>
    <t>2014/15</t>
  </si>
  <si>
    <t xml:space="preserve">På opgaveoversigten angives undervisningstimer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</si>
  <si>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175 komp</t>
  </si>
  <si>
    <t>ny løn</t>
  </si>
  <si>
    <t>gl løn</t>
  </si>
  <si>
    <t>Centralt tillæg 175 t</t>
  </si>
  <si>
    <t>Lærer i 'Den lukkede gruppe'</t>
  </si>
  <si>
    <t>Lærer på UU Maglemosen</t>
  </si>
  <si>
    <t>Pensions-bidrag pr md</t>
  </si>
  <si>
    <t xml:space="preserve">Skoledagene kan variere fra skole til skole hen over året, </t>
  </si>
  <si>
    <t>men det samlede tal er 200.</t>
  </si>
  <si>
    <t>Sort tekst: landsaftale</t>
  </si>
  <si>
    <t>Blå tekst: Ballerup-aftale</t>
  </si>
  <si>
    <r>
      <rPr>
        <b/>
        <sz val="12"/>
        <rFont val="Arial"/>
        <family val="2"/>
      </rPr>
      <t xml:space="preserve">DER MANGLER 2 TING!              1. Fra 1. januar 2014 indgår et 'Fritvalgstillæg' på 0,60 % af lønnen, enten som løn eller som pension. Det står på forsiden af din lønseddel, men indgår pt. ikke i løntjekkeren.  2. Tillæg for lejrskole, weekend og helligdage: se fanebladet   </t>
    </r>
    <r>
      <rPr>
        <sz val="12"/>
        <rFont val="Arial"/>
        <family val="2"/>
      </rPr>
      <t xml:space="preserve">  </t>
    </r>
  </si>
  <si>
    <t>Ulempegodtgørelse (§ 11 i Underbilag 2.1 i Lov 409)</t>
  </si>
  <si>
    <t xml:space="preserve">For tjeneste på bestemte tidspunkter ydes et tillæg på 25 % af nettotimelønnen </t>
  </si>
  <si>
    <t>Arbejdet skal være 'efter ordre eller godkendt tjenesteplan'.</t>
  </si>
  <si>
    <t>Nettotimeløn:</t>
  </si>
  <si>
    <t>skriv her</t>
  </si>
  <si>
    <t>Kan ses på lønsedlen eller beregnes her på løntjekkeren</t>
  </si>
  <si>
    <t>Weekender lørdag kl 00 - søndag kl 24</t>
  </si>
  <si>
    <t>Søgnehelligdage kl 00-24</t>
  </si>
  <si>
    <t>Grundlovsdag 5. juni kl 12-24</t>
  </si>
  <si>
    <t>Juleaftensdag kl 14-24</t>
  </si>
  <si>
    <t>§ 11 ulempeg</t>
  </si>
  <si>
    <t>incl. faste tillæg, dog mindst 26,12 kr (i niveau 31.3.2000), i nutidskroner:</t>
  </si>
  <si>
    <t>Weekendgodtgørelse (§ 12 i Underbilag 2.1 i Lov 409)</t>
  </si>
  <si>
    <t xml:space="preserve">varighed med et tillæg på 50 % eller med timeløn med et tillæg på 50 % - der ydes herudover </t>
  </si>
  <si>
    <t>tillæg efter  § 11 (se herover) - se mere i lovteksten.</t>
  </si>
  <si>
    <t>Kan konverteres til afspadsering - se mere i lovteksten.</t>
  </si>
  <si>
    <t>Arbejde i weekender eller på søgnehelligdage godtgøres med afspadsering af samme</t>
  </si>
  <si>
    <t>Lærer på almen skole</t>
  </si>
  <si>
    <t>(alle de andre skoler)</t>
  </si>
  <si>
    <t>Start med at skrive  1 ud for din skole!</t>
  </si>
  <si>
    <t>(eller på anciennitetsløn/'gammel løn')</t>
  </si>
  <si>
    <t>3 løntrin</t>
  </si>
  <si>
    <t>1 løntrin</t>
  </si>
  <si>
    <t>Komp. 175 t tjenestemænd</t>
  </si>
  <si>
    <t>Komp. 175 t ok-ansatte</t>
  </si>
  <si>
    <t>Grå tekst: pensionsbidr. tjenestem.</t>
  </si>
  <si>
    <t xml:space="preserve">       </t>
  </si>
  <si>
    <t>Centralt anciennitetstillæg</t>
  </si>
  <si>
    <t>UUM OI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</si>
</sst>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#,##0.0"/>
    <numFmt numFmtId="169" formatCode="#,##0.000"/>
    <numFmt numFmtId="170" formatCode="_(* #,##0.000000_);_(* \(#,##0.000000\);_(* &quot;-&quot;??_);_(@_)"/>
    <numFmt numFmtId="171" formatCode="_(* #,##0_);_(* \(#,##0\);_(* &quot;-&quot;??_);_(@_)"/>
  </numFmts>
  <fonts count="5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i/>
      <sz val="11"/>
      <color indexed="8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sz val="10"/>
      <color rgb="FF800000"/>
      <name val="Arial"/>
      <family val="2"/>
    </font>
    <font>
      <b/>
      <sz val="11"/>
      <color rgb="FF800000"/>
      <name val="Arial"/>
      <family val="2"/>
    </font>
    <font>
      <b/>
      <sz val="8"/>
      <color indexed="55"/>
      <name val="Arial"/>
      <family val="2"/>
    </font>
    <font>
      <b/>
      <sz val="11"/>
      <color rgb="FF969696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31">
    <xf numFmtId="0" fontId="0" fillId="0" borderId="0" xfId="0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0" fontId="0" fillId="0" borderId="0" xfId="1" applyNumberFormat="1" applyFont="1" applyBorder="1" applyProtection="1"/>
    <xf numFmtId="170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0" fillId="0" borderId="0" xfId="0" applyNumberFormat="1" applyFont="1"/>
    <xf numFmtId="0" fontId="0" fillId="0" borderId="13" xfId="0" applyBorder="1" applyAlignment="1">
      <alignment horizontal="right"/>
    </xf>
    <xf numFmtId="165" fontId="0" fillId="0" borderId="14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6" xfId="0" applyBorder="1"/>
    <xf numFmtId="0" fontId="0" fillId="0" borderId="17" xfId="0" applyBorder="1"/>
    <xf numFmtId="164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1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18" xfId="1" applyFont="1" applyBorder="1" applyAlignment="1">
      <alignment horizontal="center"/>
    </xf>
    <xf numFmtId="170" fontId="0" fillId="0" borderId="14" xfId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164" fontId="11" fillId="0" borderId="14" xfId="1" applyFont="1" applyBorder="1" applyProtection="1"/>
    <xf numFmtId="4" fontId="15" fillId="0" borderId="0" xfId="0" applyNumberFormat="1" applyFont="1"/>
    <xf numFmtId="0" fontId="0" fillId="0" borderId="12" xfId="0" applyBorder="1"/>
    <xf numFmtId="166" fontId="0" fillId="0" borderId="24" xfId="0" applyNumberFormat="1" applyBorder="1"/>
    <xf numFmtId="166" fontId="0" fillId="0" borderId="25" xfId="0" applyNumberFormat="1" applyBorder="1"/>
    <xf numFmtId="166" fontId="3" fillId="0" borderId="26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3" fontId="9" fillId="0" borderId="27" xfId="0" applyNumberFormat="1" applyFont="1" applyBorder="1"/>
    <xf numFmtId="3" fontId="14" fillId="0" borderId="0" xfId="0" applyNumberFormat="1" applyFont="1" applyAlignment="1">
      <alignment horizontal="center"/>
    </xf>
    <xf numFmtId="4" fontId="19" fillId="0" borderId="0" xfId="0" applyNumberFormat="1" applyFont="1" applyFill="1"/>
    <xf numFmtId="2" fontId="18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1" fontId="15" fillId="3" borderId="28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4" fontId="22" fillId="0" borderId="0" xfId="0" applyNumberFormat="1" applyFont="1" applyFill="1"/>
    <xf numFmtId="1" fontId="15" fillId="0" borderId="0" xfId="0" applyNumberFormat="1" applyFont="1" applyFill="1" applyAlignment="1">
      <alignment horizontal="center"/>
    </xf>
    <xf numFmtId="2" fontId="15" fillId="3" borderId="24" xfId="0" applyNumberFormat="1" applyFont="1" applyFill="1" applyBorder="1" applyAlignment="1">
      <alignment horizontal="right"/>
    </xf>
    <xf numFmtId="1" fontId="15" fillId="3" borderId="28" xfId="0" applyNumberFormat="1" applyFont="1" applyFill="1" applyBorder="1" applyAlignment="1" applyProtection="1">
      <alignment horizontal="center"/>
      <protection locked="0"/>
    </xf>
    <xf numFmtId="4" fontId="20" fillId="0" borderId="28" xfId="0" applyNumberFormat="1" applyFont="1" applyBorder="1" applyAlignment="1">
      <alignment horizontal="center"/>
    </xf>
    <xf numFmtId="2" fontId="15" fillId="0" borderId="34" xfId="0" applyNumberFormat="1" applyFont="1" applyFill="1" applyBorder="1" applyAlignment="1">
      <alignment horizontal="left"/>
    </xf>
    <xf numFmtId="4" fontId="15" fillId="0" borderId="35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8" fillId="0" borderId="2" xfId="0" applyNumberFormat="1" applyFont="1" applyFill="1" applyBorder="1" applyAlignment="1">
      <alignment horizontal="left"/>
    </xf>
    <xf numFmtId="3" fontId="17" fillId="0" borderId="36" xfId="0" applyNumberFormat="1" applyFont="1" applyBorder="1" applyAlignment="1">
      <alignment horizontal="center"/>
    </xf>
    <xf numFmtId="4" fontId="18" fillId="0" borderId="37" xfId="0" applyNumberFormat="1" applyFont="1" applyFill="1" applyBorder="1" applyAlignment="1">
      <alignment horizontal="left"/>
    </xf>
    <xf numFmtId="2" fontId="18" fillId="0" borderId="36" xfId="0" applyNumberFormat="1" applyFont="1" applyFill="1" applyBorder="1" applyAlignment="1">
      <alignment horizontal="left"/>
    </xf>
    <xf numFmtId="4" fontId="15" fillId="0" borderId="29" xfId="0" applyNumberFormat="1" applyFont="1" applyBorder="1"/>
    <xf numFmtId="2" fontId="15" fillId="0" borderId="30" xfId="0" applyNumberFormat="1" applyFont="1" applyFill="1" applyBorder="1" applyAlignment="1">
      <alignment horizontal="right"/>
    </xf>
    <xf numFmtId="2" fontId="15" fillId="0" borderId="30" xfId="0" applyNumberFormat="1" applyFont="1" applyFill="1" applyBorder="1" applyAlignment="1">
      <alignment horizontal="left"/>
    </xf>
    <xf numFmtId="4" fontId="15" fillId="0" borderId="30" xfId="0" applyNumberFormat="1" applyFont="1" applyFill="1" applyBorder="1" applyAlignment="1">
      <alignment horizontal="right"/>
    </xf>
    <xf numFmtId="4" fontId="15" fillId="0" borderId="31" xfId="0" applyNumberFormat="1" applyFont="1" applyFill="1" applyBorder="1" applyAlignment="1">
      <alignment horizontal="left"/>
    </xf>
    <xf numFmtId="4" fontId="15" fillId="0" borderId="34" xfId="0" applyNumberFormat="1" applyFont="1" applyBorder="1"/>
    <xf numFmtId="4" fontId="15" fillId="0" borderId="0" xfId="0" applyNumberFormat="1" applyFont="1" applyBorder="1"/>
    <xf numFmtId="4" fontId="18" fillId="0" borderId="0" xfId="0" applyNumberFormat="1" applyFont="1" applyBorder="1"/>
    <xf numFmtId="4" fontId="18" fillId="0" borderId="36" xfId="0" applyNumberFormat="1" applyFont="1" applyBorder="1"/>
    <xf numFmtId="4" fontId="21" fillId="0" borderId="0" xfId="0" applyNumberFormat="1" applyFont="1" applyBorder="1" applyAlignment="1">
      <alignment horizontal="center"/>
    </xf>
    <xf numFmtId="4" fontId="27" fillId="0" borderId="0" xfId="0" applyNumberFormat="1" applyFont="1" applyFill="1"/>
    <xf numFmtId="169" fontId="27" fillId="0" borderId="0" xfId="0" applyNumberFormat="1" applyFont="1" applyFill="1"/>
    <xf numFmtId="0" fontId="0" fillId="0" borderId="12" xfId="0" applyFill="1" applyBorder="1"/>
    <xf numFmtId="2" fontId="12" fillId="0" borderId="30" xfId="0" applyNumberFormat="1" applyFont="1" applyFill="1" applyBorder="1" applyAlignment="1">
      <alignment horizontal="right"/>
    </xf>
    <xf numFmtId="2" fontId="8" fillId="0" borderId="30" xfId="0" applyNumberFormat="1" applyFont="1" applyFill="1" applyBorder="1" applyAlignment="1">
      <alignment horizontal="left"/>
    </xf>
    <xf numFmtId="4" fontId="8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left"/>
    </xf>
    <xf numFmtId="2" fontId="16" fillId="0" borderId="0" xfId="0" applyNumberFormat="1" applyFont="1" applyFill="1" applyAlignment="1">
      <alignment horizontal="right"/>
    </xf>
    <xf numFmtId="4" fontId="20" fillId="0" borderId="0" xfId="0" applyNumberFormat="1" applyFont="1"/>
    <xf numFmtId="0" fontId="31" fillId="0" borderId="0" xfId="0" applyFont="1"/>
    <xf numFmtId="0" fontId="26" fillId="4" borderId="36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26" fillId="4" borderId="37" xfId="0" applyFont="1" applyFill="1" applyBorder="1"/>
    <xf numFmtId="0" fontId="29" fillId="4" borderId="40" xfId="0" applyFont="1" applyFill="1" applyBorder="1"/>
    <xf numFmtId="0" fontId="34" fillId="4" borderId="3" xfId="0" applyFont="1" applyFill="1" applyBorder="1"/>
    <xf numFmtId="3" fontId="35" fillId="0" borderId="0" xfId="0" applyNumberFormat="1" applyFont="1"/>
    <xf numFmtId="4" fontId="35" fillId="0" borderId="0" xfId="0" applyNumberFormat="1" applyFont="1"/>
    <xf numFmtId="4" fontId="29" fillId="0" borderId="0" xfId="0" applyNumberFormat="1" applyFont="1" applyBorder="1"/>
    <xf numFmtId="3" fontId="9" fillId="0" borderId="0" xfId="0" applyNumberFormat="1" applyFont="1" applyBorder="1"/>
    <xf numFmtId="2" fontId="36" fillId="5" borderId="0" xfId="0" applyNumberFormat="1" applyFont="1" applyFill="1" applyBorder="1" applyAlignment="1" applyProtection="1">
      <alignment horizontal="right"/>
      <protection locked="0"/>
    </xf>
    <xf numFmtId="2" fontId="6" fillId="3" borderId="28" xfId="0" applyNumberFormat="1" applyFont="1" applyFill="1" applyBorder="1" applyAlignment="1">
      <alignment horizontal="right"/>
    </xf>
    <xf numFmtId="4" fontId="4" fillId="0" borderId="0" xfId="0" applyNumberFormat="1" applyFont="1"/>
    <xf numFmtId="171" fontId="11" fillId="0" borderId="14" xfId="1" applyNumberFormat="1" applyFont="1" applyBorder="1" applyProtection="1"/>
    <xf numFmtId="3" fontId="37" fillId="0" borderId="0" xfId="0" applyNumberFormat="1" applyFont="1" applyAlignment="1">
      <alignment horizontal="center"/>
    </xf>
    <xf numFmtId="167" fontId="6" fillId="3" borderId="28" xfId="0" applyNumberFormat="1" applyFont="1" applyFill="1" applyBorder="1" applyAlignment="1">
      <alignment horizontal="right"/>
    </xf>
    <xf numFmtId="0" fontId="0" fillId="0" borderId="0" xfId="0"/>
    <xf numFmtId="0" fontId="11" fillId="0" borderId="0" xfId="0" applyFont="1"/>
    <xf numFmtId="164" fontId="11" fillId="0" borderId="15" xfId="1" applyFont="1" applyBorder="1" applyAlignment="1">
      <alignment horizontal="center"/>
    </xf>
    <xf numFmtId="0" fontId="38" fillId="0" borderId="12" xfId="0" applyFont="1" applyBorder="1"/>
    <xf numFmtId="0" fontId="38" fillId="8" borderId="12" xfId="0" applyFont="1" applyFill="1" applyBorder="1"/>
    <xf numFmtId="4" fontId="20" fillId="9" borderId="34" xfId="0" applyNumberFormat="1" applyFont="1" applyFill="1" applyBorder="1"/>
    <xf numFmtId="0" fontId="0" fillId="0" borderId="0" xfId="0"/>
    <xf numFmtId="164" fontId="4" fillId="2" borderId="39" xfId="1" applyFont="1" applyFill="1" applyBorder="1"/>
    <xf numFmtId="164" fontId="4" fillId="2" borderId="3" xfId="1" applyFont="1" applyFill="1" applyBorder="1"/>
    <xf numFmtId="0" fontId="0" fillId="2" borderId="2" xfId="0" applyFill="1" applyBorder="1"/>
    <xf numFmtId="164" fontId="4" fillId="2" borderId="40" xfId="1" applyFont="1" applyFill="1" applyBorder="1"/>
    <xf numFmtId="0" fontId="0" fillId="2" borderId="36" xfId="0" applyFill="1" applyBorder="1"/>
    <xf numFmtId="0" fontId="0" fillId="2" borderId="37" xfId="0" applyFill="1" applyBorder="1"/>
    <xf numFmtId="164" fontId="0" fillId="0" borderId="38" xfId="1" applyFont="1" applyBorder="1"/>
    <xf numFmtId="164" fontId="0" fillId="0" borderId="38" xfId="1" applyFont="1" applyBorder="1" applyAlignment="1">
      <alignment horizontal="center"/>
    </xf>
    <xf numFmtId="164" fontId="0" fillId="2" borderId="34" xfId="1" applyFont="1" applyFill="1" applyBorder="1"/>
    <xf numFmtId="0" fontId="0" fillId="2" borderId="34" xfId="0" applyFill="1" applyBorder="1"/>
    <xf numFmtId="0" fontId="0" fillId="2" borderId="35" xfId="0" applyFill="1" applyBorder="1"/>
    <xf numFmtId="164" fontId="0" fillId="2" borderId="36" xfId="1" applyFont="1" applyFill="1" applyBorder="1"/>
    <xf numFmtId="0" fontId="0" fillId="0" borderId="0" xfId="0"/>
    <xf numFmtId="165" fontId="0" fillId="0" borderId="0" xfId="0" applyNumberFormat="1"/>
    <xf numFmtId="0" fontId="0" fillId="0" borderId="0" xfId="0"/>
    <xf numFmtId="4" fontId="21" fillId="0" borderId="0" xfId="0" applyNumberFormat="1" applyFont="1" applyBorder="1" applyAlignment="1">
      <alignment horizontal="center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0" fontId="40" fillId="0" borderId="0" xfId="0" applyFont="1"/>
    <xf numFmtId="164" fontId="40" fillId="0" borderId="18" xfId="1" applyFont="1" applyBorder="1" applyAlignment="1">
      <alignment horizontal="center"/>
    </xf>
    <xf numFmtId="164" fontId="40" fillId="0" borderId="12" xfId="1" applyFont="1" applyBorder="1" applyAlignment="1">
      <alignment horizontal="center"/>
    </xf>
    <xf numFmtId="164" fontId="40" fillId="0" borderId="12" xfId="1" applyFont="1" applyBorder="1"/>
    <xf numFmtId="4" fontId="44" fillId="0" borderId="28" xfId="0" applyNumberFormat="1" applyFont="1" applyBorder="1" applyAlignment="1">
      <alignment horizontal="center"/>
    </xf>
    <xf numFmtId="4" fontId="46" fillId="0" borderId="28" xfId="0" applyNumberFormat="1" applyFont="1" applyBorder="1"/>
    <xf numFmtId="4" fontId="45" fillId="0" borderId="30" xfId="0" applyNumberFormat="1" applyFont="1" applyBorder="1"/>
    <xf numFmtId="4" fontId="46" fillId="0" borderId="31" xfId="0" applyNumberFormat="1" applyFont="1" applyBorder="1"/>
    <xf numFmtId="4" fontId="45" fillId="0" borderId="0" xfId="0" applyNumberFormat="1" applyFont="1"/>
    <xf numFmtId="2" fontId="41" fillId="0" borderId="0" xfId="0" applyNumberFormat="1" applyFont="1" applyFill="1" applyBorder="1" applyAlignment="1">
      <alignment horizontal="left"/>
    </xf>
    <xf numFmtId="164" fontId="15" fillId="0" borderId="0" xfId="1" applyFont="1" applyFill="1" applyAlignment="1">
      <alignment horizontal="right"/>
    </xf>
    <xf numFmtId="164" fontId="15" fillId="0" borderId="34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left"/>
    </xf>
    <xf numFmtId="4" fontId="47" fillId="0" borderId="0" xfId="0" applyNumberFormat="1" applyFont="1" applyBorder="1"/>
    <xf numFmtId="164" fontId="47" fillId="0" borderId="0" xfId="1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left"/>
    </xf>
    <xf numFmtId="4" fontId="47" fillId="0" borderId="36" xfId="0" applyNumberFormat="1" applyFont="1" applyBorder="1"/>
    <xf numFmtId="3" fontId="48" fillId="0" borderId="36" xfId="0" applyNumberFormat="1" applyFont="1" applyBorder="1" applyAlignment="1">
      <alignment horizontal="center"/>
    </xf>
    <xf numFmtId="164" fontId="47" fillId="0" borderId="36" xfId="1" applyFont="1" applyFill="1" applyBorder="1" applyAlignment="1">
      <alignment horizontal="right"/>
    </xf>
    <xf numFmtId="2" fontId="47" fillId="0" borderId="36" xfId="0" applyNumberFormat="1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/>
    <xf numFmtId="2" fontId="47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left"/>
    </xf>
    <xf numFmtId="164" fontId="47" fillId="0" borderId="0" xfId="1" applyFont="1" applyFill="1" applyAlignment="1">
      <alignment horizontal="right"/>
    </xf>
    <xf numFmtId="1" fontId="47" fillId="3" borderId="28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Alignment="1">
      <alignment horizontal="left"/>
    </xf>
    <xf numFmtId="4" fontId="49" fillId="0" borderId="0" xfId="0" applyNumberFormat="1" applyFont="1"/>
    <xf numFmtId="4" fontId="50" fillId="0" borderId="0" xfId="0" applyNumberFormat="1" applyFont="1" applyFill="1"/>
    <xf numFmtId="4" fontId="21" fillId="0" borderId="0" xfId="0" applyNumberFormat="1" applyFont="1" applyBorder="1" applyAlignment="1">
      <alignment horizontal="left"/>
    </xf>
    <xf numFmtId="4" fontId="45" fillId="0" borderId="0" xfId="0" applyNumberFormat="1" applyFont="1" applyBorder="1"/>
    <xf numFmtId="164" fontId="45" fillId="0" borderId="0" xfId="1" applyFont="1" applyFill="1" applyBorder="1" applyAlignment="1">
      <alignment horizontal="right"/>
    </xf>
    <xf numFmtId="164" fontId="14" fillId="3" borderId="30" xfId="1" applyFont="1" applyFill="1" applyBorder="1" applyAlignment="1">
      <alignment horizontal="left"/>
    </xf>
    <xf numFmtId="164" fontId="15" fillId="0" borderId="0" xfId="1" applyFont="1" applyFill="1" applyAlignment="1">
      <alignment horizontal="center"/>
    </xf>
    <xf numFmtId="164" fontId="18" fillId="0" borderId="0" xfId="1" applyFont="1" applyFill="1" applyBorder="1" applyAlignment="1">
      <alignment horizontal="right"/>
    </xf>
    <xf numFmtId="164" fontId="15" fillId="0" borderId="30" xfId="1" applyFont="1" applyFill="1" applyBorder="1" applyAlignment="1">
      <alignment horizontal="right"/>
    </xf>
    <xf numFmtId="164" fontId="8" fillId="0" borderId="30" xfId="1" applyFont="1" applyFill="1" applyBorder="1" applyAlignment="1">
      <alignment horizontal="right"/>
    </xf>
    <xf numFmtId="164" fontId="8" fillId="0" borderId="0" xfId="1" applyFont="1" applyFill="1" applyAlignment="1">
      <alignment horizontal="right"/>
    </xf>
    <xf numFmtId="164" fontId="7" fillId="0" borderId="0" xfId="1" applyFont="1" applyFill="1" applyAlignment="1">
      <alignment horizontal="right"/>
    </xf>
    <xf numFmtId="164" fontId="15" fillId="0" borderId="32" xfId="1" applyFont="1" applyBorder="1"/>
    <xf numFmtId="164" fontId="45" fillId="0" borderId="32" xfId="1" applyFont="1" applyBorder="1"/>
    <xf numFmtId="164" fontId="15" fillId="0" borderId="33" xfId="1" applyFont="1" applyBorder="1"/>
    <xf numFmtId="164" fontId="45" fillId="0" borderId="33" xfId="1" applyFont="1" applyBorder="1"/>
    <xf numFmtId="164" fontId="18" fillId="0" borderId="36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left"/>
    </xf>
    <xf numFmtId="164" fontId="15" fillId="0" borderId="2" xfId="1" applyFont="1" applyFill="1" applyBorder="1" applyAlignment="1">
      <alignment horizontal="left"/>
    </xf>
    <xf numFmtId="164" fontId="47" fillId="0" borderId="0" xfId="1" applyFont="1" applyFill="1" applyBorder="1" applyAlignment="1">
      <alignment horizontal="left"/>
    </xf>
    <xf numFmtId="164" fontId="47" fillId="0" borderId="0" xfId="1" applyFont="1" applyFill="1" applyAlignment="1">
      <alignment horizontal="left"/>
    </xf>
    <xf numFmtId="164" fontId="15" fillId="0" borderId="0" xfId="1" applyFont="1" applyFill="1" applyAlignment="1">
      <alignment horizontal="left"/>
    </xf>
    <xf numFmtId="164" fontId="15" fillId="0" borderId="35" xfId="1" applyFont="1" applyFill="1" applyBorder="1" applyAlignment="1">
      <alignment horizontal="left"/>
    </xf>
    <xf numFmtId="164" fontId="47" fillId="0" borderId="2" xfId="1" applyFont="1" applyFill="1" applyBorder="1" applyAlignment="1">
      <alignment horizontal="left"/>
    </xf>
    <xf numFmtId="164" fontId="47" fillId="0" borderId="37" xfId="1" applyFont="1" applyFill="1" applyBorder="1" applyAlignment="1">
      <alignment horizontal="left"/>
    </xf>
    <xf numFmtId="0" fontId="0" fillId="0" borderId="0" xfId="0"/>
    <xf numFmtId="0" fontId="0" fillId="0" borderId="36" xfId="0" applyBorder="1"/>
    <xf numFmtId="0" fontId="0" fillId="0" borderId="0" xfId="0"/>
    <xf numFmtId="164" fontId="52" fillId="0" borderId="32" xfId="1" applyFont="1" applyBorder="1"/>
    <xf numFmtId="164" fontId="52" fillId="0" borderId="33" xfId="1" applyFont="1" applyBorder="1"/>
    <xf numFmtId="164" fontId="52" fillId="0" borderId="25" xfId="1" applyFont="1" applyFill="1" applyBorder="1" applyAlignment="1">
      <alignment horizontal="right"/>
    </xf>
    <xf numFmtId="4" fontId="53" fillId="0" borderId="28" xfId="0" applyNumberFormat="1" applyFont="1" applyBorder="1"/>
    <xf numFmtId="4" fontId="52" fillId="0" borderId="32" xfId="0" applyNumberFormat="1" applyFont="1" applyBorder="1"/>
    <xf numFmtId="4" fontId="52" fillId="0" borderId="33" xfId="0" applyNumberFormat="1" applyFont="1" applyBorder="1"/>
    <xf numFmtId="168" fontId="52" fillId="0" borderId="25" xfId="0" applyNumberFormat="1" applyFont="1" applyFill="1" applyBorder="1" applyAlignment="1">
      <alignment horizontal="right"/>
    </xf>
    <xf numFmtId="164" fontId="47" fillId="0" borderId="32" xfId="1" applyFont="1" applyBorder="1"/>
    <xf numFmtId="164" fontId="47" fillId="0" borderId="33" xfId="1" applyFont="1" applyBorder="1"/>
    <xf numFmtId="164" fontId="47" fillId="0" borderId="25" xfId="1" applyFont="1" applyFill="1" applyBorder="1" applyAlignment="1">
      <alignment horizontal="right"/>
    </xf>
    <xf numFmtId="0" fontId="37" fillId="0" borderId="0" xfId="0" applyFont="1"/>
    <xf numFmtId="166" fontId="37" fillId="0" borderId="0" xfId="0" applyNumberFormat="1" applyFont="1"/>
    <xf numFmtId="2" fontId="37" fillId="0" borderId="0" xfId="0" applyNumberFormat="1" applyFont="1"/>
    <xf numFmtId="17" fontId="38" fillId="0" borderId="34" xfId="0" applyNumberFormat="1" applyFont="1" applyBorder="1"/>
    <xf numFmtId="17" fontId="38" fillId="0" borderId="35" xfId="0" applyNumberFormat="1" applyFont="1" applyBorder="1"/>
    <xf numFmtId="0" fontId="38" fillId="0" borderId="45" xfId="0" applyFont="1" applyBorder="1"/>
    <xf numFmtId="0" fontId="38" fillId="0" borderId="46" xfId="0" applyFont="1" applyBorder="1"/>
    <xf numFmtId="0" fontId="38" fillId="8" borderId="45" xfId="0" applyFont="1" applyFill="1" applyBorder="1"/>
    <xf numFmtId="0" fontId="38" fillId="8" borderId="46" xfId="0" applyFont="1" applyFill="1" applyBorder="1"/>
    <xf numFmtId="0" fontId="0" fillId="0" borderId="3" xfId="0" applyBorder="1"/>
    <xf numFmtId="0" fontId="0" fillId="8" borderId="0" xfId="0" applyFill="1" applyBorder="1"/>
    <xf numFmtId="0" fontId="0" fillId="8" borderId="2" xfId="0" applyFill="1" applyBorder="1"/>
    <xf numFmtId="0" fontId="0" fillId="0" borderId="45" xfId="0" applyBorder="1"/>
    <xf numFmtId="0" fontId="0" fillId="0" borderId="2" xfId="0" applyBorder="1"/>
    <xf numFmtId="0" fontId="0" fillId="0" borderId="47" xfId="0" applyBorder="1"/>
    <xf numFmtId="0" fontId="0" fillId="0" borderId="48" xfId="0" applyBorder="1"/>
    <xf numFmtId="0" fontId="0" fillId="0" borderId="37" xfId="0" applyBorder="1"/>
    <xf numFmtId="0" fontId="11" fillId="8" borderId="0" xfId="0" applyFont="1" applyFill="1" applyBorder="1"/>
    <xf numFmtId="0" fontId="39" fillId="11" borderId="39" xfId="0" applyFont="1" applyFill="1" applyBorder="1"/>
    <xf numFmtId="0" fontId="38" fillId="11" borderId="45" xfId="0" applyFont="1" applyFill="1" applyBorder="1"/>
    <xf numFmtId="0" fontId="38" fillId="11" borderId="12" xfId="0" applyFont="1" applyFill="1" applyBorder="1"/>
    <xf numFmtId="0" fontId="38" fillId="11" borderId="46" xfId="0" applyFont="1" applyFill="1" applyBorder="1"/>
    <xf numFmtId="0" fontId="0" fillId="11" borderId="45" xfId="0" applyFill="1" applyBorder="1"/>
    <xf numFmtId="0" fontId="0" fillId="11" borderId="12" xfId="0" applyFill="1" applyBorder="1"/>
    <xf numFmtId="0" fontId="0" fillId="0" borderId="49" xfId="0" applyBorder="1"/>
    <xf numFmtId="0" fontId="0" fillId="0" borderId="0" xfId="0"/>
    <xf numFmtId="1" fontId="47" fillId="12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>
      <alignment horizontal="center"/>
    </xf>
    <xf numFmtId="0" fontId="0" fillId="8" borderId="28" xfId="0" applyFill="1" applyBorder="1"/>
    <xf numFmtId="0" fontId="0" fillId="0" borderId="0" xfId="0" quotePrefix="1"/>
    <xf numFmtId="2" fontId="15" fillId="3" borderId="24" xfId="0" applyNumberFormat="1" applyFont="1" applyFill="1" applyBorder="1" applyAlignment="1">
      <alignment horizontal="center"/>
    </xf>
    <xf numFmtId="4" fontId="10" fillId="0" borderId="0" xfId="0" applyNumberFormat="1" applyFont="1" applyAlignment="1"/>
    <xf numFmtId="3" fontId="35" fillId="0" borderId="0" xfId="0" applyNumberFormat="1" applyFont="1" applyAlignment="1"/>
    <xf numFmtId="3" fontId="10" fillId="0" borderId="0" xfId="0" applyNumberFormat="1" applyFont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4" fontId="15" fillId="0" borderId="0" xfId="0" applyNumberFormat="1" applyFont="1" applyFill="1" applyAlignment="1"/>
    <xf numFmtId="164" fontId="22" fillId="0" borderId="0" xfId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Alignment="1"/>
    <xf numFmtId="4" fontId="50" fillId="0" borderId="0" xfId="0" applyNumberFormat="1" applyFont="1" applyFill="1" applyAlignment="1"/>
    <xf numFmtId="4" fontId="15" fillId="0" borderId="0" xfId="0" applyNumberFormat="1" applyFont="1" applyAlignment="1"/>
    <xf numFmtId="164" fontId="15" fillId="0" borderId="32" xfId="1" applyFont="1" applyBorder="1" applyAlignment="1"/>
    <xf numFmtId="164" fontId="52" fillId="0" borderId="33" xfId="1" applyFont="1" applyBorder="1" applyAlignment="1"/>
    <xf numFmtId="4" fontId="19" fillId="0" borderId="0" xfId="0" applyNumberFormat="1" applyFont="1" applyFill="1" applyAlignment="1"/>
    <xf numFmtId="4" fontId="18" fillId="0" borderId="0" xfId="0" applyNumberFormat="1" applyFont="1" applyAlignment="1"/>
    <xf numFmtId="164" fontId="47" fillId="0" borderId="32" xfId="1" applyFont="1" applyBorder="1" applyAlignment="1"/>
    <xf numFmtId="4" fontId="45" fillId="0" borderId="0" xfId="0" applyNumberFormat="1" applyFont="1" applyBorder="1" applyAlignment="1"/>
    <xf numFmtId="164" fontId="47" fillId="0" borderId="33" xfId="1" applyFont="1" applyBorder="1" applyAlignment="1"/>
    <xf numFmtId="164" fontId="15" fillId="0" borderId="33" xfId="1" applyFont="1" applyBorder="1" applyAlignment="1"/>
    <xf numFmtId="4" fontId="47" fillId="0" borderId="0" xfId="0" applyNumberFormat="1" applyFont="1" applyBorder="1" applyAlignment="1"/>
    <xf numFmtId="164" fontId="52" fillId="0" borderId="32" xfId="1" applyFont="1" applyBorder="1" applyAlignment="1"/>
    <xf numFmtId="4" fontId="47" fillId="0" borderId="0" xfId="0" applyNumberFormat="1" applyFont="1" applyAlignment="1"/>
    <xf numFmtId="4" fontId="49" fillId="0" borderId="0" xfId="0" applyNumberFormat="1" applyFont="1" applyAlignment="1"/>
    <xf numFmtId="164" fontId="45" fillId="0" borderId="33" xfId="1" applyFont="1" applyBorder="1" applyAlignment="1"/>
    <xf numFmtId="4" fontId="15" fillId="0" borderId="29" xfId="0" applyNumberFormat="1" applyFont="1" applyBorder="1" applyAlignment="1"/>
    <xf numFmtId="4" fontId="46" fillId="0" borderId="28" xfId="0" applyNumberFormat="1" applyFont="1" applyBorder="1" applyAlignment="1"/>
    <xf numFmtId="4" fontId="53" fillId="0" borderId="28" xfId="0" applyNumberFormat="1" applyFont="1" applyBorder="1" applyAlignment="1"/>
    <xf numFmtId="4" fontId="45" fillId="0" borderId="30" xfId="0" applyNumberFormat="1" applyFont="1" applyBorder="1" applyAlignment="1"/>
    <xf numFmtId="4" fontId="46" fillId="0" borderId="31" xfId="0" applyNumberFormat="1" applyFont="1" applyBorder="1" applyAlignment="1"/>
    <xf numFmtId="4" fontId="29" fillId="0" borderId="0" xfId="0" applyNumberFormat="1" applyFont="1" applyBorder="1" applyAlignment="1"/>
    <xf numFmtId="4" fontId="27" fillId="0" borderId="0" xfId="0" applyNumberFormat="1" applyFont="1" applyFill="1" applyAlignment="1"/>
    <xf numFmtId="3" fontId="9" fillId="0" borderId="0" xfId="0" applyNumberFormat="1" applyFont="1" applyBorder="1" applyAlignment="1"/>
    <xf numFmtId="4" fontId="20" fillId="0" borderId="0" xfId="0" applyNumberFormat="1" applyFont="1" applyAlignment="1"/>
    <xf numFmtId="4" fontId="45" fillId="0" borderId="0" xfId="0" applyNumberFormat="1" applyFont="1" applyAlignment="1"/>
    <xf numFmtId="4" fontId="8" fillId="0" borderId="0" xfId="0" applyNumberFormat="1" applyFont="1" applyAlignment="1"/>
    <xf numFmtId="2" fontId="39" fillId="0" borderId="0" xfId="0" applyNumberFormat="1" applyFont="1" applyFill="1" applyBorder="1" applyAlignment="1">
      <alignment horizontal="left"/>
    </xf>
    <xf numFmtId="0" fontId="0" fillId="0" borderId="0" xfId="0"/>
    <xf numFmtId="0" fontId="56" fillId="0" borderId="0" xfId="0" applyFont="1"/>
    <xf numFmtId="17" fontId="57" fillId="0" borderId="0" xfId="0" applyNumberFormat="1" applyFont="1"/>
    <xf numFmtId="0" fontId="57" fillId="0" borderId="12" xfId="0" applyFont="1" applyBorder="1"/>
    <xf numFmtId="0" fontId="57" fillId="8" borderId="12" xfId="0" applyFont="1" applyFill="1" applyBorder="1"/>
    <xf numFmtId="0" fontId="31" fillId="8" borderId="0" xfId="0" applyFont="1" applyFill="1"/>
    <xf numFmtId="0" fontId="31" fillId="0" borderId="12" xfId="0" applyFont="1" applyBorder="1"/>
    <xf numFmtId="166" fontId="31" fillId="0" borderId="24" xfId="0" applyNumberFormat="1" applyFont="1" applyBorder="1"/>
    <xf numFmtId="166" fontId="31" fillId="0" borderId="25" xfId="0" applyNumberFormat="1" applyFont="1" applyBorder="1"/>
    <xf numFmtId="0" fontId="31" fillId="0" borderId="12" xfId="0" applyFont="1" applyFill="1" applyBorder="1"/>
    <xf numFmtId="166" fontId="26" fillId="0" borderId="26" xfId="0" applyNumberFormat="1" applyFont="1" applyBorder="1"/>
    <xf numFmtId="0" fontId="31" fillId="0" borderId="0" xfId="0" applyFont="1" applyBorder="1"/>
    <xf numFmtId="17" fontId="31" fillId="0" borderId="0" xfId="0" applyNumberFormat="1" applyFont="1"/>
    <xf numFmtId="0" fontId="31" fillId="13" borderId="29" xfId="0" applyFont="1" applyFill="1" applyBorder="1"/>
    <xf numFmtId="0" fontId="31" fillId="13" borderId="30" xfId="0" applyFont="1" applyFill="1" applyBorder="1"/>
    <xf numFmtId="0" fontId="31" fillId="13" borderId="31" xfId="0" applyFont="1" applyFill="1" applyBorder="1"/>
    <xf numFmtId="2" fontId="50" fillId="0" borderId="0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right"/>
    </xf>
    <xf numFmtId="3" fontId="35" fillId="0" borderId="50" xfId="0" applyNumberFormat="1" applyFont="1" applyBorder="1" applyAlignment="1"/>
    <xf numFmtId="3" fontId="35" fillId="0" borderId="51" xfId="0" applyNumberFormat="1" applyFont="1" applyBorder="1" applyAlignment="1"/>
    <xf numFmtId="164" fontId="27" fillId="0" borderId="3" xfId="1" applyFont="1" applyFill="1" applyBorder="1" applyAlignment="1"/>
    <xf numFmtId="4" fontId="19" fillId="0" borderId="51" xfId="0" applyNumberFormat="1" applyFont="1" applyFill="1" applyBorder="1" applyAlignment="1"/>
    <xf numFmtId="164" fontId="27" fillId="0" borderId="54" xfId="1" applyFont="1" applyFill="1" applyBorder="1" applyAlignment="1"/>
    <xf numFmtId="164" fontId="27" fillId="0" borderId="55" xfId="1" applyFont="1" applyFill="1" applyBorder="1" applyAlignment="1"/>
    <xf numFmtId="164" fontId="55" fillId="0" borderId="56" xfId="1" applyFont="1" applyBorder="1" applyAlignment="1"/>
    <xf numFmtId="3" fontId="10" fillId="0" borderId="50" xfId="0" applyNumberFormat="1" applyFont="1" applyBorder="1"/>
    <xf numFmtId="3" fontId="5" fillId="0" borderId="51" xfId="0" applyNumberFormat="1" applyFont="1" applyBorder="1"/>
    <xf numFmtId="164" fontId="27" fillId="0" borderId="3" xfId="1" applyFont="1" applyFill="1" applyBorder="1"/>
    <xf numFmtId="4" fontId="19" fillId="0" borderId="51" xfId="0" applyNumberFormat="1" applyFont="1" applyFill="1" applyBorder="1"/>
    <xf numFmtId="164" fontId="27" fillId="0" borderId="54" xfId="1" applyFont="1" applyFill="1" applyBorder="1"/>
    <xf numFmtId="3" fontId="14" fillId="0" borderId="51" xfId="0" applyNumberFormat="1" applyFont="1" applyBorder="1" applyAlignment="1">
      <alignment horizontal="center"/>
    </xf>
    <xf numFmtId="164" fontId="55" fillId="0" borderId="56" xfId="1" applyFont="1" applyBorder="1"/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26" fillId="4" borderId="3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0" fillId="0" borderId="30" xfId="0" applyBorder="1"/>
    <xf numFmtId="0" fontId="3" fillId="0" borderId="30" xfId="0" applyFont="1" applyBorder="1"/>
    <xf numFmtId="0" fontId="26" fillId="6" borderId="39" xfId="0" applyFont="1" applyFill="1" applyBorder="1" applyAlignment="1">
      <alignment vertical="top" wrapText="1"/>
    </xf>
    <xf numFmtId="0" fontId="26" fillId="6" borderId="34" xfId="0" applyFont="1" applyFill="1" applyBorder="1" applyAlignment="1">
      <alignment vertical="top" wrapText="1"/>
    </xf>
    <xf numFmtId="0" fontId="26" fillId="6" borderId="35" xfId="0" applyFont="1" applyFill="1" applyBorder="1" applyAlignment="1">
      <alignment vertical="top" wrapText="1"/>
    </xf>
    <xf numFmtId="0" fontId="26" fillId="6" borderId="3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26" fillId="6" borderId="2" xfId="0" applyFont="1" applyFill="1" applyBorder="1" applyAlignment="1">
      <alignment vertical="top" wrapText="1"/>
    </xf>
    <xf numFmtId="0" fontId="26" fillId="6" borderId="40" xfId="0" applyFont="1" applyFill="1" applyBorder="1" applyAlignment="1">
      <alignment vertical="top" wrapText="1"/>
    </xf>
    <xf numFmtId="0" fontId="26" fillId="6" borderId="36" xfId="0" applyFont="1" applyFill="1" applyBorder="1" applyAlignment="1">
      <alignment vertical="top" wrapText="1"/>
    </xf>
    <xf numFmtId="0" fontId="26" fillId="6" borderId="37" xfId="0" applyFont="1" applyFill="1" applyBorder="1" applyAlignment="1">
      <alignment vertical="top" wrapText="1"/>
    </xf>
    <xf numFmtId="0" fontId="0" fillId="0" borderId="34" xfId="0" applyBorder="1"/>
    <xf numFmtId="0" fontId="26" fillId="4" borderId="40" xfId="0" applyFont="1" applyFill="1" applyBorder="1"/>
    <xf numFmtId="0" fontId="26" fillId="4" borderId="36" xfId="0" applyFont="1" applyFill="1" applyBorder="1"/>
    <xf numFmtId="0" fontId="26" fillId="4" borderId="37" xfId="0" applyFont="1" applyFill="1" applyBorder="1"/>
    <xf numFmtId="0" fontId="26" fillId="4" borderId="39" xfId="0" applyFont="1" applyFill="1" applyBorder="1"/>
    <xf numFmtId="0" fontId="26" fillId="4" borderId="34" xfId="0" applyFont="1" applyFill="1" applyBorder="1"/>
    <xf numFmtId="0" fontId="26" fillId="4" borderId="35" xfId="0" applyFont="1" applyFill="1" applyBorder="1"/>
    <xf numFmtId="0" fontId="0" fillId="0" borderId="0" xfId="0"/>
    <xf numFmtId="0" fontId="0" fillId="0" borderId="36" xfId="0" applyBorder="1"/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23" fillId="6" borderId="39" xfId="0" applyFont="1" applyFill="1" applyBorder="1" applyAlignment="1">
      <alignment wrapText="1"/>
    </xf>
    <xf numFmtId="0" fontId="23" fillId="6" borderId="34" xfId="0" applyFont="1" applyFill="1" applyBorder="1" applyAlignment="1">
      <alignment wrapText="1"/>
    </xf>
    <xf numFmtId="0" fontId="23" fillId="6" borderId="35" xfId="0" applyFont="1" applyFill="1" applyBorder="1" applyAlignment="1">
      <alignment wrapText="1"/>
    </xf>
    <xf numFmtId="0" fontId="23" fillId="6" borderId="40" xfId="0" applyFont="1" applyFill="1" applyBorder="1" applyAlignment="1">
      <alignment wrapText="1"/>
    </xf>
    <xf numFmtId="0" fontId="23" fillId="6" borderId="36" xfId="0" applyFont="1" applyFill="1" applyBorder="1" applyAlignment="1">
      <alignment wrapText="1"/>
    </xf>
    <xf numFmtId="0" fontId="23" fillId="6" borderId="37" xfId="0" applyFont="1" applyFill="1" applyBorder="1" applyAlignment="1">
      <alignment wrapText="1"/>
    </xf>
    <xf numFmtId="0" fontId="32" fillId="4" borderId="39" xfId="0" applyFont="1" applyFill="1" applyBorder="1" applyAlignment="1">
      <alignment horizontal="center"/>
    </xf>
    <xf numFmtId="0" fontId="32" fillId="4" borderId="34" xfId="0" applyFont="1" applyFill="1" applyBorder="1" applyAlignment="1">
      <alignment horizontal="center"/>
    </xf>
    <xf numFmtId="0" fontId="32" fillId="4" borderId="35" xfId="0" applyFont="1" applyFill="1" applyBorder="1" applyAlignment="1">
      <alignment horizontal="center"/>
    </xf>
    <xf numFmtId="0" fontId="33" fillId="4" borderId="3" xfId="0" applyFont="1" applyFill="1" applyBorder="1"/>
    <xf numFmtId="0" fontId="33" fillId="4" borderId="0" xfId="0" applyFont="1" applyFill="1" applyBorder="1"/>
    <xf numFmtId="0" fontId="33" fillId="4" borderId="2" xfId="0" applyFont="1" applyFill="1" applyBorder="1"/>
    <xf numFmtId="0" fontId="31" fillId="0" borderId="30" xfId="0" applyFont="1" applyBorder="1"/>
    <xf numFmtId="0" fontId="26" fillId="4" borderId="39" xfId="0" applyFont="1" applyFill="1" applyBorder="1" applyAlignment="1">
      <alignment vertical="top" wrapText="1"/>
    </xf>
    <xf numFmtId="0" fontId="26" fillId="4" borderId="34" xfId="0" applyFont="1" applyFill="1" applyBorder="1" applyAlignment="1">
      <alignment vertical="top" wrapText="1"/>
    </xf>
    <xf numFmtId="0" fontId="26" fillId="4" borderId="35" xfId="0" applyFont="1" applyFill="1" applyBorder="1" applyAlignment="1">
      <alignment vertical="top" wrapText="1"/>
    </xf>
    <xf numFmtId="0" fontId="26" fillId="4" borderId="3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top" wrapText="1"/>
    </xf>
    <xf numFmtId="0" fontId="26" fillId="4" borderId="2" xfId="0" applyFont="1" applyFill="1" applyBorder="1" applyAlignment="1">
      <alignment vertical="top" wrapText="1"/>
    </xf>
    <xf numFmtId="0" fontId="26" fillId="4" borderId="40" xfId="0" applyFont="1" applyFill="1" applyBorder="1" applyAlignment="1">
      <alignment vertical="top" wrapText="1"/>
    </xf>
    <xf numFmtId="0" fontId="26" fillId="4" borderId="36" xfId="0" applyFont="1" applyFill="1" applyBorder="1" applyAlignment="1">
      <alignment vertical="top" wrapText="1"/>
    </xf>
    <xf numFmtId="0" fontId="26" fillId="4" borderId="37" xfId="0" applyFont="1" applyFill="1" applyBorder="1" applyAlignment="1">
      <alignment vertical="top" wrapText="1"/>
    </xf>
    <xf numFmtId="0" fontId="26" fillId="6" borderId="3" xfId="0" applyFont="1" applyFill="1" applyBorder="1" applyAlignment="1">
      <alignment horizontal="left" vertical="top" wrapText="1"/>
    </xf>
    <xf numFmtId="0" fontId="26" fillId="6" borderId="0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left" vertical="top" wrapText="1"/>
    </xf>
    <xf numFmtId="0" fontId="26" fillId="6" borderId="40" xfId="0" applyFont="1" applyFill="1" applyBorder="1" applyAlignment="1">
      <alignment horizontal="left" vertical="top" wrapText="1"/>
    </xf>
    <xf numFmtId="0" fontId="26" fillId="6" borderId="36" xfId="0" applyFont="1" applyFill="1" applyBorder="1" applyAlignment="1">
      <alignment horizontal="left" vertical="top" wrapText="1"/>
    </xf>
    <xf numFmtId="0" fontId="26" fillId="6" borderId="37" xfId="0" applyFont="1" applyFill="1" applyBorder="1" applyAlignment="1">
      <alignment horizontal="left" vertical="top" wrapText="1"/>
    </xf>
    <xf numFmtId="0" fontId="26" fillId="6" borderId="39" xfId="0" applyFont="1" applyFill="1" applyBorder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26" fillId="10" borderId="39" xfId="0" applyFont="1" applyFill="1" applyBorder="1" applyAlignment="1">
      <alignment horizontal="left"/>
    </xf>
    <xf numFmtId="0" fontId="26" fillId="10" borderId="34" xfId="0" applyFont="1" applyFill="1" applyBorder="1" applyAlignment="1">
      <alignment horizontal="left"/>
    </xf>
    <xf numFmtId="0" fontId="26" fillId="10" borderId="35" xfId="0" applyFont="1" applyFill="1" applyBorder="1" applyAlignment="1">
      <alignment horizontal="left"/>
    </xf>
    <xf numFmtId="0" fontId="26" fillId="10" borderId="3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26" fillId="10" borderId="2" xfId="0" applyFont="1" applyFill="1" applyBorder="1" applyAlignment="1">
      <alignment horizontal="left"/>
    </xf>
    <xf numFmtId="0" fontId="26" fillId="10" borderId="40" xfId="0" applyFont="1" applyFill="1" applyBorder="1" applyAlignment="1">
      <alignment horizontal="left"/>
    </xf>
    <xf numFmtId="0" fontId="26" fillId="10" borderId="36" xfId="0" applyFont="1" applyFill="1" applyBorder="1" applyAlignment="1">
      <alignment horizontal="left"/>
    </xf>
    <xf numFmtId="0" fontId="26" fillId="10" borderId="37" xfId="0" applyFont="1" applyFill="1" applyBorder="1" applyAlignment="1">
      <alignment horizontal="left"/>
    </xf>
    <xf numFmtId="0" fontId="11" fillId="11" borderId="39" xfId="0" applyFont="1" applyFill="1" applyBorder="1" applyAlignment="1">
      <alignment vertical="center" wrapText="1"/>
    </xf>
    <xf numFmtId="0" fontId="0" fillId="11" borderId="34" xfId="0" applyFill="1" applyBorder="1" applyAlignment="1">
      <alignment vertical="center" wrapText="1"/>
    </xf>
    <xf numFmtId="0" fontId="0" fillId="11" borderId="35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40" xfId="0" applyFill="1" applyBorder="1" applyAlignment="1">
      <alignment vertical="center" wrapText="1"/>
    </xf>
    <xf numFmtId="0" fontId="0" fillId="11" borderId="36" xfId="0" applyFill="1" applyBorder="1" applyAlignment="1">
      <alignment vertical="center" wrapText="1"/>
    </xf>
    <xf numFmtId="0" fontId="0" fillId="11" borderId="37" xfId="0" applyFill="1" applyBorder="1" applyAlignment="1">
      <alignment vertical="center" wrapText="1"/>
    </xf>
    <xf numFmtId="4" fontId="42" fillId="0" borderId="3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4" fontId="51" fillId="0" borderId="24" xfId="0" applyNumberFormat="1" applyFont="1" applyBorder="1" applyAlignment="1">
      <alignment horizontal="center" wrapText="1"/>
    </xf>
    <xf numFmtId="4" fontId="51" fillId="0" borderId="26" xfId="0" applyNumberFormat="1" applyFont="1" applyBorder="1" applyAlignment="1">
      <alignment horizontal="center" wrapText="1"/>
    </xf>
    <xf numFmtId="2" fontId="28" fillId="0" borderId="41" xfId="0" applyNumberFormat="1" applyFont="1" applyFill="1" applyBorder="1" applyAlignment="1">
      <alignment horizontal="left" vertical="top" wrapText="1"/>
    </xf>
    <xf numFmtId="2" fontId="28" fillId="0" borderId="42" xfId="0" applyNumberFormat="1" applyFont="1" applyFill="1" applyBorder="1" applyAlignment="1">
      <alignment horizontal="left" vertical="top" wrapText="1"/>
    </xf>
    <xf numFmtId="2" fontId="28" fillId="0" borderId="43" xfId="0" applyNumberFormat="1" applyFont="1" applyFill="1" applyBorder="1" applyAlignment="1">
      <alignment horizontal="left" vertical="top" wrapText="1"/>
    </xf>
    <xf numFmtId="2" fontId="28" fillId="0" borderId="20" xfId="0" applyNumberFormat="1" applyFont="1" applyFill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left" vertical="top" wrapText="1"/>
    </xf>
    <xf numFmtId="2" fontId="28" fillId="0" borderId="21" xfId="0" applyNumberFormat="1" applyFont="1" applyFill="1" applyBorder="1" applyAlignment="1">
      <alignment horizontal="left" vertical="top" wrapText="1"/>
    </xf>
    <xf numFmtId="2" fontId="28" fillId="0" borderId="22" xfId="0" applyNumberFormat="1" applyFont="1" applyFill="1" applyBorder="1" applyAlignment="1">
      <alignment horizontal="left" vertical="top" wrapText="1"/>
    </xf>
    <xf numFmtId="2" fontId="28" fillId="0" borderId="1" xfId="0" applyNumberFormat="1" applyFont="1" applyFill="1" applyBorder="1" applyAlignment="1">
      <alignment horizontal="left" vertical="top" wrapText="1"/>
    </xf>
    <xf numFmtId="2" fontId="28" fillId="0" borderId="23" xfId="0" applyNumberFormat="1" applyFont="1" applyFill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4" fontId="54" fillId="0" borderId="3" xfId="0" applyNumberFormat="1" applyFont="1" applyFill="1" applyBorder="1" applyAlignment="1">
      <alignment horizontal="center" vertical="top" wrapText="1"/>
    </xf>
    <xf numFmtId="4" fontId="54" fillId="0" borderId="52" xfId="0" applyNumberFormat="1" applyFont="1" applyFill="1" applyBorder="1" applyAlignment="1">
      <alignment horizontal="center" vertical="center" wrapText="1"/>
    </xf>
    <xf numFmtId="4" fontId="54" fillId="0" borderId="53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3" fillId="7" borderId="17" xfId="0" applyFont="1" applyFill="1" applyBorder="1"/>
    <xf numFmtId="0" fontId="3" fillId="7" borderId="44" xfId="0" applyFont="1" applyFill="1" applyBorder="1"/>
    <xf numFmtId="164" fontId="4" fillId="2" borderId="3" xfId="1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40" xfId="1" applyFont="1" applyFill="1" applyBorder="1" applyAlignment="1">
      <alignment horizontal="center" vertical="center"/>
    </xf>
    <xf numFmtId="164" fontId="4" fillId="2" borderId="36" xfId="1" applyFont="1" applyFill="1" applyBorder="1" applyAlignment="1">
      <alignment horizontal="center" vertical="center"/>
    </xf>
    <xf numFmtId="164" fontId="4" fillId="2" borderId="37" xfId="1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colors>
    <mruColors>
      <color rgb="FF800000"/>
      <color rgb="FFFFFF99"/>
      <color rgb="FFCCFF99"/>
      <color rgb="FFFFCCFF"/>
      <color rgb="FF99FF66"/>
      <color rgb="FFCCFF66"/>
      <color rgb="FF96969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29"/>
  <sheetViews>
    <sheetView showGridLines="0" showRowColHeaders="0" tabSelected="1" showOutlineSymbols="0" zoomScaleNormal="100" workbookViewId="0">
      <selection sqref="A1:E1"/>
    </sheetView>
  </sheetViews>
  <sheetFormatPr defaultRowHeight="15" x14ac:dyDescent="0.2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6" ht="16.5" thickBot="1" x14ac:dyDescent="0.3">
      <c r="A1" s="321" t="s">
        <v>26</v>
      </c>
      <c r="B1" s="322"/>
      <c r="C1" s="322"/>
      <c r="D1" s="322"/>
      <c r="E1" s="323"/>
      <c r="F1" s="345"/>
      <c r="G1" s="347" t="s">
        <v>37</v>
      </c>
      <c r="H1" s="348"/>
      <c r="I1" s="349"/>
      <c r="K1" s="381" t="s">
        <v>79</v>
      </c>
      <c r="L1" s="382"/>
      <c r="M1" s="383"/>
    </row>
    <row r="2" spans="1:16" ht="8.1" customHeight="1" thickBot="1" x14ac:dyDescent="0.3">
      <c r="A2" s="327"/>
      <c r="B2" s="327"/>
      <c r="C2" s="327"/>
      <c r="D2" s="327"/>
      <c r="E2" s="327"/>
      <c r="F2" s="345"/>
      <c r="G2" s="328"/>
      <c r="H2" s="328"/>
      <c r="I2" s="328"/>
    </row>
    <row r="3" spans="1:16" ht="15.75" x14ac:dyDescent="0.25">
      <c r="A3" s="329" t="s">
        <v>77</v>
      </c>
      <c r="B3" s="330"/>
      <c r="C3" s="330"/>
      <c r="D3" s="330"/>
      <c r="E3" s="331"/>
      <c r="F3" s="345"/>
      <c r="G3" s="342" t="s">
        <v>39</v>
      </c>
      <c r="H3" s="343"/>
      <c r="I3" s="344"/>
      <c r="K3" s="384" t="s">
        <v>80</v>
      </c>
      <c r="L3" s="385"/>
      <c r="M3" s="386"/>
    </row>
    <row r="4" spans="1:16" ht="15.75" x14ac:dyDescent="0.25">
      <c r="A4" s="332"/>
      <c r="B4" s="333"/>
      <c r="C4" s="333"/>
      <c r="D4" s="333"/>
      <c r="E4" s="334"/>
      <c r="F4" s="345"/>
      <c r="G4" s="324" t="s">
        <v>38</v>
      </c>
      <c r="H4" s="325"/>
      <c r="I4" s="326"/>
      <c r="K4" s="387" t="s">
        <v>86</v>
      </c>
      <c r="L4" s="388"/>
      <c r="M4" s="389"/>
    </row>
    <row r="5" spans="1:16" ht="16.5" thickBot="1" x14ac:dyDescent="0.3">
      <c r="A5" s="332"/>
      <c r="B5" s="333"/>
      <c r="C5" s="333"/>
      <c r="D5" s="333"/>
      <c r="E5" s="334"/>
      <c r="F5" s="345"/>
      <c r="G5" s="324" t="s">
        <v>65</v>
      </c>
      <c r="H5" s="325"/>
      <c r="I5" s="326"/>
      <c r="K5" s="390" t="s">
        <v>87</v>
      </c>
      <c r="L5" s="391"/>
      <c r="M5" s="392"/>
    </row>
    <row r="6" spans="1:16" ht="16.5" thickBot="1" x14ac:dyDescent="0.3">
      <c r="A6" s="332"/>
      <c r="B6" s="333"/>
      <c r="C6" s="333"/>
      <c r="D6" s="333"/>
      <c r="E6" s="334"/>
      <c r="F6" s="345"/>
      <c r="G6" s="324" t="s">
        <v>75</v>
      </c>
      <c r="H6" s="325"/>
      <c r="I6" s="326"/>
    </row>
    <row r="7" spans="1:16" ht="15.75" x14ac:dyDescent="0.25">
      <c r="A7" s="332"/>
      <c r="B7" s="333"/>
      <c r="C7" s="333"/>
      <c r="D7" s="333"/>
      <c r="E7" s="334"/>
      <c r="F7" s="345"/>
      <c r="G7" s="324" t="s">
        <v>66</v>
      </c>
      <c r="H7" s="325"/>
      <c r="I7" s="326"/>
      <c r="K7" s="393" t="s">
        <v>158</v>
      </c>
      <c r="L7" s="394"/>
      <c r="M7" s="395"/>
    </row>
    <row r="8" spans="1:16" ht="15" customHeight="1" x14ac:dyDescent="0.25">
      <c r="A8" s="332"/>
      <c r="B8" s="333"/>
      <c r="C8" s="333"/>
      <c r="D8" s="333"/>
      <c r="E8" s="334"/>
      <c r="F8" s="345"/>
      <c r="G8" s="324" t="s">
        <v>67</v>
      </c>
      <c r="H8" s="325"/>
      <c r="I8" s="326"/>
      <c r="K8" s="396"/>
      <c r="L8" s="397"/>
      <c r="M8" s="398"/>
    </row>
    <row r="9" spans="1:16" ht="16.5" thickBot="1" x14ac:dyDescent="0.3">
      <c r="A9" s="332"/>
      <c r="B9" s="333"/>
      <c r="C9" s="333"/>
      <c r="D9" s="333"/>
      <c r="E9" s="334"/>
      <c r="F9" s="345"/>
      <c r="G9" s="339" t="s">
        <v>68</v>
      </c>
      <c r="H9" s="340"/>
      <c r="I9" s="341"/>
      <c r="K9" s="396"/>
      <c r="L9" s="397"/>
      <c r="M9" s="398"/>
    </row>
    <row r="10" spans="1:16" ht="8.25" customHeight="1" thickBot="1" x14ac:dyDescent="0.25">
      <c r="A10" s="332"/>
      <c r="B10" s="333"/>
      <c r="C10" s="333"/>
      <c r="D10" s="333"/>
      <c r="E10" s="334"/>
      <c r="F10" s="345"/>
      <c r="G10" s="338"/>
      <c r="H10" s="338"/>
      <c r="I10" s="338"/>
      <c r="K10" s="396"/>
      <c r="L10" s="397"/>
      <c r="M10" s="398"/>
    </row>
    <row r="11" spans="1:16" ht="15.75" customHeight="1" x14ac:dyDescent="0.25">
      <c r="A11" s="332"/>
      <c r="B11" s="333"/>
      <c r="C11" s="333"/>
      <c r="D11" s="333"/>
      <c r="E11" s="334"/>
      <c r="F11" s="345"/>
      <c r="G11" s="356" t="s">
        <v>69</v>
      </c>
      <c r="H11" s="357"/>
      <c r="I11" s="358"/>
      <c r="K11" s="396"/>
      <c r="L11" s="397"/>
      <c r="M11" s="398"/>
    </row>
    <row r="12" spans="1:16" ht="15" customHeight="1" x14ac:dyDescent="0.25">
      <c r="A12" s="332"/>
      <c r="B12" s="333"/>
      <c r="C12" s="333"/>
      <c r="D12" s="333"/>
      <c r="E12" s="334"/>
      <c r="F12" s="345"/>
      <c r="G12" s="359" t="s">
        <v>157</v>
      </c>
      <c r="H12" s="360"/>
      <c r="I12" s="361"/>
      <c r="K12" s="396"/>
      <c r="L12" s="397"/>
      <c r="M12" s="398"/>
      <c r="P12" t="s">
        <v>85</v>
      </c>
    </row>
    <row r="13" spans="1:16" ht="20.25" customHeight="1" x14ac:dyDescent="0.25">
      <c r="A13" s="332"/>
      <c r="B13" s="333"/>
      <c r="C13" s="333"/>
      <c r="D13" s="333"/>
      <c r="E13" s="334"/>
      <c r="F13" s="345"/>
      <c r="G13" s="324" t="s">
        <v>156</v>
      </c>
      <c r="H13" s="325"/>
      <c r="I13" s="326"/>
      <c r="K13" s="396"/>
      <c r="L13" s="397"/>
      <c r="M13" s="398"/>
    </row>
    <row r="14" spans="1:16" ht="20.25" customHeight="1" x14ac:dyDescent="0.25">
      <c r="A14" s="332"/>
      <c r="B14" s="333"/>
      <c r="C14" s="333"/>
      <c r="D14" s="333"/>
      <c r="E14" s="334"/>
      <c r="F14" s="345"/>
      <c r="G14" s="116" t="s">
        <v>184</v>
      </c>
      <c r="H14" s="112"/>
      <c r="I14" s="113"/>
      <c r="K14" s="396"/>
      <c r="L14" s="397"/>
      <c r="M14" s="398"/>
    </row>
    <row r="15" spans="1:16" ht="16.5" customHeight="1" thickBot="1" x14ac:dyDescent="0.3">
      <c r="A15" s="335"/>
      <c r="B15" s="336"/>
      <c r="C15" s="336"/>
      <c r="D15" s="336"/>
      <c r="E15" s="337"/>
      <c r="F15" s="345"/>
      <c r="G15" s="115" t="s">
        <v>81</v>
      </c>
      <c r="H15" s="111"/>
      <c r="I15" s="114"/>
      <c r="K15" s="399"/>
      <c r="L15" s="400"/>
      <c r="M15" s="401"/>
    </row>
    <row r="16" spans="1:16" ht="8.1" customHeight="1" thickBot="1" x14ac:dyDescent="0.25">
      <c r="A16" s="327"/>
      <c r="B16" s="327"/>
      <c r="C16" s="327"/>
      <c r="D16" s="327"/>
      <c r="E16" s="327"/>
      <c r="F16" s="346"/>
      <c r="G16" s="346"/>
      <c r="H16" s="346"/>
      <c r="I16" s="346"/>
    </row>
    <row r="17" spans="1:13" ht="15.75" x14ac:dyDescent="0.25">
      <c r="A17" s="363" t="s">
        <v>74</v>
      </c>
      <c r="B17" s="364"/>
      <c r="C17" s="364"/>
      <c r="D17" s="364"/>
      <c r="E17" s="364"/>
      <c r="F17" s="364"/>
      <c r="G17" s="364"/>
      <c r="H17" s="364"/>
      <c r="I17" s="365"/>
      <c r="K17" s="378" t="s">
        <v>82</v>
      </c>
      <c r="L17" s="379"/>
      <c r="M17" s="380"/>
    </row>
    <row r="18" spans="1:13" x14ac:dyDescent="0.2">
      <c r="A18" s="366"/>
      <c r="B18" s="367"/>
      <c r="C18" s="367"/>
      <c r="D18" s="367"/>
      <c r="E18" s="367"/>
      <c r="F18" s="367"/>
      <c r="G18" s="367"/>
      <c r="H18" s="367"/>
      <c r="I18" s="368"/>
      <c r="K18" s="372" t="s">
        <v>146</v>
      </c>
      <c r="L18" s="373"/>
      <c r="M18" s="374"/>
    </row>
    <row r="19" spans="1:13" ht="15.75" thickBot="1" x14ac:dyDescent="0.25">
      <c r="A19" s="369"/>
      <c r="B19" s="370"/>
      <c r="C19" s="370"/>
      <c r="D19" s="370"/>
      <c r="E19" s="370"/>
      <c r="F19" s="370"/>
      <c r="G19" s="370"/>
      <c r="H19" s="370"/>
      <c r="I19" s="371"/>
      <c r="K19" s="372"/>
      <c r="L19" s="373"/>
      <c r="M19" s="374"/>
    </row>
    <row r="20" spans="1:13" ht="8.1" customHeight="1" thickBot="1" x14ac:dyDescent="0.25">
      <c r="A20" s="362"/>
      <c r="B20" s="362"/>
      <c r="C20" s="362"/>
      <c r="D20" s="362"/>
      <c r="E20" s="362"/>
      <c r="F20" s="362"/>
      <c r="G20" s="362"/>
      <c r="H20" s="362"/>
      <c r="I20" s="362"/>
      <c r="K20" s="372"/>
      <c r="L20" s="373"/>
      <c r="M20" s="374"/>
    </row>
    <row r="21" spans="1:13" ht="15" customHeight="1" x14ac:dyDescent="0.2">
      <c r="A21" s="363" t="s">
        <v>76</v>
      </c>
      <c r="B21" s="364"/>
      <c r="C21" s="364"/>
      <c r="D21" s="364"/>
      <c r="E21" s="364"/>
      <c r="F21" s="364"/>
      <c r="G21" s="364"/>
      <c r="H21" s="364"/>
      <c r="I21" s="365"/>
      <c r="K21" s="372"/>
      <c r="L21" s="373"/>
      <c r="M21" s="374"/>
    </row>
    <row r="22" spans="1:13" ht="15.75" thickBot="1" x14ac:dyDescent="0.25">
      <c r="A22" s="369"/>
      <c r="B22" s="370"/>
      <c r="C22" s="370"/>
      <c r="D22" s="370"/>
      <c r="E22" s="370"/>
      <c r="F22" s="370"/>
      <c r="G22" s="370"/>
      <c r="H22" s="370"/>
      <c r="I22" s="371"/>
      <c r="K22" s="372"/>
      <c r="L22" s="373"/>
      <c r="M22" s="374"/>
    </row>
    <row r="23" spans="1:13" ht="6.75" customHeight="1" thickBot="1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K23" s="372"/>
      <c r="L23" s="373"/>
      <c r="M23" s="374"/>
    </row>
    <row r="24" spans="1:13" x14ac:dyDescent="0.2">
      <c r="A24" s="329" t="s">
        <v>93</v>
      </c>
      <c r="B24" s="330"/>
      <c r="C24" s="330"/>
      <c r="D24" s="330"/>
      <c r="E24" s="330"/>
      <c r="F24" s="330"/>
      <c r="G24" s="330"/>
      <c r="H24" s="330"/>
      <c r="I24" s="331"/>
      <c r="K24" s="372"/>
      <c r="L24" s="373"/>
      <c r="M24" s="374"/>
    </row>
    <row r="25" spans="1:13" x14ac:dyDescent="0.2">
      <c r="A25" s="332"/>
      <c r="B25" s="333"/>
      <c r="C25" s="333"/>
      <c r="D25" s="333"/>
      <c r="E25" s="333"/>
      <c r="F25" s="333"/>
      <c r="G25" s="333"/>
      <c r="H25" s="333"/>
      <c r="I25" s="334"/>
      <c r="K25" s="372"/>
      <c r="L25" s="373"/>
      <c r="M25" s="374"/>
    </row>
    <row r="26" spans="1:13" ht="15.75" thickBot="1" x14ac:dyDescent="0.25">
      <c r="A26" s="335"/>
      <c r="B26" s="336"/>
      <c r="C26" s="336"/>
      <c r="D26" s="336"/>
      <c r="E26" s="336"/>
      <c r="F26" s="336"/>
      <c r="G26" s="336"/>
      <c r="H26" s="336"/>
      <c r="I26" s="337"/>
      <c r="K26" s="372"/>
      <c r="L26" s="373"/>
      <c r="M26" s="374"/>
    </row>
    <row r="27" spans="1:13" ht="5.25" customHeight="1" thickBot="1" x14ac:dyDescent="0.25">
      <c r="K27" s="372"/>
      <c r="L27" s="373"/>
      <c r="M27" s="374"/>
    </row>
    <row r="28" spans="1:13" x14ac:dyDescent="0.2">
      <c r="A28" s="350" t="s">
        <v>70</v>
      </c>
      <c r="B28" s="351"/>
      <c r="C28" s="351"/>
      <c r="D28" s="351"/>
      <c r="E28" s="351"/>
      <c r="F28" s="351"/>
      <c r="G28" s="351"/>
      <c r="H28" s="351"/>
      <c r="I28" s="352"/>
      <c r="K28" s="372"/>
      <c r="L28" s="373"/>
      <c r="M28" s="374"/>
    </row>
    <row r="29" spans="1:13" ht="15.75" thickBot="1" x14ac:dyDescent="0.25">
      <c r="A29" s="353"/>
      <c r="B29" s="354"/>
      <c r="C29" s="354"/>
      <c r="D29" s="354"/>
      <c r="E29" s="354"/>
      <c r="F29" s="354"/>
      <c r="G29" s="354"/>
      <c r="H29" s="354"/>
      <c r="I29" s="355"/>
      <c r="K29" s="375"/>
      <c r="L29" s="376"/>
      <c r="M29" s="377"/>
    </row>
  </sheetData>
  <mergeCells count="31">
    <mergeCell ref="K18:M29"/>
    <mergeCell ref="K17:M17"/>
    <mergeCell ref="K1:M1"/>
    <mergeCell ref="K3:M3"/>
    <mergeCell ref="K4:M4"/>
    <mergeCell ref="K5:M5"/>
    <mergeCell ref="K7:M1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</mergeCells>
  <phoneticPr fontId="0" type="noConversion"/>
  <pageMargins left="0.75" right="0.75" top="1" bottom="1" header="0" footer="0"/>
  <pageSetup paperSize="9" scale="67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9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61" customWidth="1"/>
    <col min="8" max="8" width="10.77734375" style="15" customWidth="1"/>
    <col min="9" max="9" width="9.109375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1" ht="16.5" thickBot="1" x14ac:dyDescent="0.3">
      <c r="A1" s="75" t="s">
        <v>15</v>
      </c>
      <c r="B1" s="76"/>
      <c r="C1" s="77"/>
      <c r="D1" s="77"/>
      <c r="E1" s="78"/>
      <c r="F1" s="402" t="s">
        <v>64</v>
      </c>
      <c r="G1" s="403"/>
      <c r="H1" s="100"/>
      <c r="I1" s="101"/>
    </row>
    <row r="2" spans="1:21" ht="16.5" thickBot="1" x14ac:dyDescent="0.3">
      <c r="A2" s="123" t="str">
        <f>IF(B5+B9+B12+B15&gt;1,"Snyd! - du skal kun skrive i 1 af de 4 felter for anciennitet",".")</f>
        <v>.</v>
      </c>
      <c r="B2" s="79"/>
      <c r="C2" s="79"/>
      <c r="D2" s="79"/>
      <c r="E2" s="79"/>
      <c r="F2" s="404" t="str">
        <f>DATABANK!B20</f>
        <v>1.1.2014</v>
      </c>
      <c r="G2" s="404"/>
      <c r="H2" s="405" t="s">
        <v>71</v>
      </c>
      <c r="I2" s="101"/>
    </row>
    <row r="3" spans="1:21" ht="15.75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157" t="s">
        <v>18</v>
      </c>
      <c r="G3" s="157" t="s">
        <v>17</v>
      </c>
      <c r="H3" s="406"/>
      <c r="I3" s="102"/>
    </row>
    <row r="4" spans="1:21" ht="15.75" thickBot="1" x14ac:dyDescent="0.25">
      <c r="A4" s="57" t="s">
        <v>9</v>
      </c>
      <c r="B4" s="80">
        <v>27</v>
      </c>
      <c r="C4" s="71"/>
      <c r="D4" s="163">
        <f>DATABANK!B27</f>
        <v>300104</v>
      </c>
      <c r="E4" s="200" t="s">
        <v>33</v>
      </c>
      <c r="F4" s="196">
        <f>ROUND($E$3/100*D4,2)</f>
        <v>300104</v>
      </c>
      <c r="G4" s="196">
        <f>ROUND(F4/12,2)</f>
        <v>25008.67</v>
      </c>
      <c r="H4" s="211"/>
      <c r="I4" s="101"/>
      <c r="J4" s="66"/>
      <c r="K4" s="66"/>
      <c r="L4" s="66"/>
      <c r="M4" s="66"/>
      <c r="N4" s="66"/>
      <c r="O4" s="66"/>
    </row>
    <row r="5" spans="1:21" ht="15.75" thickBot="1" x14ac:dyDescent="0.25">
      <c r="A5" s="96" t="s">
        <v>55</v>
      </c>
      <c r="B5" s="73"/>
      <c r="C5" s="84" t="s">
        <v>8</v>
      </c>
      <c r="D5" s="164"/>
      <c r="E5" s="205"/>
      <c r="F5" s="196"/>
      <c r="G5" s="196"/>
      <c r="H5" s="211"/>
      <c r="I5" s="101"/>
      <c r="J5" s="66"/>
      <c r="K5" s="66"/>
      <c r="L5" s="66"/>
      <c r="M5" s="66"/>
      <c r="N5" s="66"/>
      <c r="O5" s="66"/>
      <c r="P5" s="62"/>
      <c r="Q5" s="62"/>
      <c r="R5" s="62"/>
      <c r="S5" s="62"/>
      <c r="T5" s="62"/>
      <c r="U5" s="62"/>
    </row>
    <row r="6" spans="1:21" x14ac:dyDescent="0.2">
      <c r="A6" s="97" t="s">
        <v>54</v>
      </c>
      <c r="B6" s="74"/>
      <c r="C6" s="74"/>
      <c r="D6" s="165">
        <f>DATABANK!C58</f>
        <v>2569.8000000000002</v>
      </c>
      <c r="E6" s="201" t="s">
        <v>33</v>
      </c>
      <c r="F6" s="196">
        <f>ROUND(B5*E$3/100*D6,2)</f>
        <v>0</v>
      </c>
      <c r="G6" s="196">
        <f t="shared" ref="G6:G27" si="0">ROUND(F6/12,2)</f>
        <v>0</v>
      </c>
      <c r="H6" s="211"/>
      <c r="I6" s="101"/>
      <c r="J6" s="66"/>
      <c r="K6" s="66"/>
      <c r="L6" s="66"/>
      <c r="M6" s="66"/>
      <c r="N6" s="66"/>
      <c r="O6" s="66"/>
      <c r="P6" s="62"/>
      <c r="Q6" s="62"/>
      <c r="R6" s="62"/>
      <c r="S6" s="62"/>
      <c r="T6" s="62"/>
      <c r="U6" s="62"/>
    </row>
    <row r="7" spans="1:21" x14ac:dyDescent="0.2">
      <c r="A7" s="167" t="s">
        <v>121</v>
      </c>
      <c r="B7" s="169"/>
      <c r="C7" s="169"/>
      <c r="D7" s="168">
        <f>(DATABANK!B31-DATABANK!B27)</f>
        <v>17327</v>
      </c>
      <c r="E7" s="206" t="s">
        <v>33</v>
      </c>
      <c r="F7" s="218">
        <f>ROUND(B5*E$3/100*D7,2)</f>
        <v>0</v>
      </c>
      <c r="G7" s="218">
        <f t="shared" si="0"/>
        <v>0</v>
      </c>
      <c r="H7" s="211"/>
      <c r="I7" s="101"/>
      <c r="J7" s="66"/>
      <c r="K7" s="66"/>
      <c r="L7" s="66"/>
      <c r="M7" s="66"/>
      <c r="N7" s="66"/>
      <c r="O7" s="66"/>
      <c r="P7" s="62"/>
      <c r="Q7" s="62"/>
      <c r="R7" s="62"/>
      <c r="S7" s="62"/>
      <c r="T7" s="62"/>
      <c r="U7" s="62"/>
    </row>
    <row r="8" spans="1:21" ht="16.5" thickBot="1" x14ac:dyDescent="0.3">
      <c r="A8" s="170" t="s">
        <v>120</v>
      </c>
      <c r="B8" s="171"/>
      <c r="C8" s="171"/>
      <c r="D8" s="172">
        <f>(DATABANK!B33-DATABANK!B31)</f>
        <v>9091</v>
      </c>
      <c r="E8" s="207" t="s">
        <v>33</v>
      </c>
      <c r="F8" s="218">
        <f>ROUND(B5*E$3/100*D8,2)</f>
        <v>0</v>
      </c>
      <c r="G8" s="218">
        <f t="shared" si="0"/>
        <v>0</v>
      </c>
      <c r="H8" s="211"/>
      <c r="I8" s="101"/>
      <c r="J8" s="66"/>
      <c r="K8" s="66"/>
      <c r="L8" s="66"/>
      <c r="M8" s="66"/>
      <c r="N8" s="66"/>
      <c r="O8" s="66"/>
    </row>
    <row r="9" spans="1:21" ht="15.75" thickBot="1" x14ac:dyDescent="0.25">
      <c r="A9" s="96" t="s">
        <v>56</v>
      </c>
      <c r="B9" s="73"/>
      <c r="C9" s="84" t="s">
        <v>8</v>
      </c>
      <c r="D9" s="164">
        <f>(DATABANK!B30-DATABANK!B27)</f>
        <v>12886</v>
      </c>
      <c r="E9" s="205" t="s">
        <v>33</v>
      </c>
      <c r="F9" s="198">
        <f>ROUND(B9*E$3/100*D9,2)</f>
        <v>0</v>
      </c>
      <c r="G9" s="198">
        <f t="shared" si="0"/>
        <v>0</v>
      </c>
      <c r="H9" s="212"/>
      <c r="I9" s="101"/>
      <c r="J9" s="66"/>
      <c r="K9" s="66"/>
      <c r="L9" s="66"/>
      <c r="M9" s="66"/>
      <c r="N9" s="66"/>
      <c r="O9" s="66"/>
      <c r="P9" s="62"/>
      <c r="Q9" s="62"/>
      <c r="R9" s="62"/>
      <c r="S9" s="62"/>
      <c r="T9" s="62"/>
      <c r="U9" s="62"/>
    </row>
    <row r="10" spans="1:21" x14ac:dyDescent="0.2">
      <c r="A10" s="97" t="s">
        <v>54</v>
      </c>
      <c r="B10" s="74"/>
      <c r="C10" s="74"/>
      <c r="D10" s="165">
        <f>DATABANK!C58</f>
        <v>2569.8000000000002</v>
      </c>
      <c r="E10" s="201" t="s">
        <v>33</v>
      </c>
      <c r="F10" s="196">
        <f>ROUND(B9*E$3/100*D10,2)</f>
        <v>0</v>
      </c>
      <c r="G10" s="196">
        <f t="shared" si="0"/>
        <v>0</v>
      </c>
      <c r="H10" s="211"/>
      <c r="I10" s="101"/>
      <c r="J10" s="66"/>
      <c r="K10" s="66"/>
      <c r="L10" s="66"/>
      <c r="M10" s="66"/>
      <c r="N10" s="66"/>
      <c r="O10" s="66"/>
      <c r="P10" s="62"/>
      <c r="Q10" s="62"/>
      <c r="R10" s="62"/>
      <c r="S10" s="62"/>
      <c r="T10" s="62"/>
      <c r="U10" s="62"/>
    </row>
    <row r="11" spans="1:21" ht="15.75" thickBot="1" x14ac:dyDescent="0.25">
      <c r="A11" s="167" t="s">
        <v>121</v>
      </c>
      <c r="B11" s="173"/>
      <c r="C11" s="173"/>
      <c r="D11" s="172">
        <f>(DATABANK!B34-DATABANK!B30)</f>
        <v>18193</v>
      </c>
      <c r="E11" s="207" t="s">
        <v>33</v>
      </c>
      <c r="F11" s="218">
        <f>ROUND(B9*E$3/100*D11,2)</f>
        <v>0</v>
      </c>
      <c r="G11" s="218">
        <f t="shared" si="0"/>
        <v>0</v>
      </c>
      <c r="H11" s="211"/>
      <c r="I11" s="101"/>
      <c r="J11" s="66"/>
      <c r="K11" s="66"/>
      <c r="L11" s="66"/>
      <c r="M11" s="66"/>
      <c r="N11" s="66"/>
      <c r="O11" s="66"/>
      <c r="P11" s="62"/>
      <c r="Q11" s="62"/>
      <c r="R11" s="62"/>
      <c r="S11" s="62"/>
      <c r="T11" s="62"/>
      <c r="U11" s="62"/>
    </row>
    <row r="12" spans="1:21" ht="15.75" thickBot="1" x14ac:dyDescent="0.25">
      <c r="A12" s="96" t="s">
        <v>57</v>
      </c>
      <c r="B12" s="73"/>
      <c r="C12" s="84" t="s">
        <v>8</v>
      </c>
      <c r="D12" s="164">
        <f>(DATABANK!B$32-DATABANK!B$27)</f>
        <v>21837</v>
      </c>
      <c r="E12" s="205" t="s">
        <v>33</v>
      </c>
      <c r="F12" s="198">
        <f>ROUND(B12*E$3/100*D12,2)</f>
        <v>0</v>
      </c>
      <c r="G12" s="198">
        <f t="shared" si="0"/>
        <v>0</v>
      </c>
      <c r="H12" s="212"/>
      <c r="I12" s="101"/>
      <c r="J12" s="66"/>
      <c r="K12" s="66"/>
      <c r="L12" s="66"/>
      <c r="M12" s="66"/>
      <c r="N12" s="66"/>
      <c r="O12" s="66"/>
      <c r="P12" s="62"/>
      <c r="Q12" s="62"/>
      <c r="R12" s="62"/>
      <c r="S12" s="62"/>
      <c r="T12" s="62"/>
      <c r="U12" s="62"/>
    </row>
    <row r="13" spans="1:21" x14ac:dyDescent="0.2">
      <c r="A13" s="97" t="s">
        <v>54</v>
      </c>
      <c r="B13" s="74"/>
      <c r="C13" s="74"/>
      <c r="D13" s="165">
        <v>0</v>
      </c>
      <c r="E13" s="201" t="s">
        <v>33</v>
      </c>
      <c r="F13" s="196">
        <f>ROUND(B12*E$3/100*D13,2)</f>
        <v>0</v>
      </c>
      <c r="G13" s="196">
        <f t="shared" si="0"/>
        <v>0</v>
      </c>
      <c r="H13" s="211"/>
      <c r="I13" s="101"/>
      <c r="J13" s="66"/>
      <c r="K13" s="66"/>
      <c r="L13" s="66"/>
      <c r="M13" s="66"/>
      <c r="N13" s="66"/>
      <c r="O13" s="66"/>
      <c r="P13" s="62"/>
      <c r="Q13" s="62"/>
      <c r="R13" s="62"/>
      <c r="S13" s="62"/>
      <c r="T13" s="62"/>
      <c r="U13" s="62"/>
    </row>
    <row r="14" spans="1:21" ht="15.75" thickBot="1" x14ac:dyDescent="0.25">
      <c r="A14" s="167" t="s">
        <v>121</v>
      </c>
      <c r="B14" s="173"/>
      <c r="C14" s="173"/>
      <c r="D14" s="172">
        <f>(DATABANK!B36-DATABANK!B32)</f>
        <v>18776</v>
      </c>
      <c r="E14" s="207" t="s">
        <v>33</v>
      </c>
      <c r="F14" s="218">
        <f>ROUND(B12*E$3/100*D14,2)</f>
        <v>0</v>
      </c>
      <c r="G14" s="218">
        <f t="shared" si="0"/>
        <v>0</v>
      </c>
      <c r="H14" s="211"/>
      <c r="I14" s="101"/>
      <c r="J14" s="66"/>
      <c r="K14" s="66"/>
      <c r="L14" s="66"/>
      <c r="M14" s="66"/>
      <c r="N14" s="66"/>
      <c r="O14" s="66"/>
    </row>
    <row r="15" spans="1:21" ht="15.75" thickBot="1" x14ac:dyDescent="0.25">
      <c r="A15" s="96" t="s">
        <v>60</v>
      </c>
      <c r="B15" s="73"/>
      <c r="C15" s="84" t="s">
        <v>8</v>
      </c>
      <c r="D15" s="164">
        <f>D12</f>
        <v>21837</v>
      </c>
      <c r="E15" s="205" t="s">
        <v>33</v>
      </c>
      <c r="F15" s="198">
        <f>ROUND(B15*E$3/100*D15,2)</f>
        <v>0</v>
      </c>
      <c r="G15" s="198">
        <f t="shared" si="0"/>
        <v>0</v>
      </c>
      <c r="H15" s="212"/>
      <c r="I15" s="101"/>
      <c r="J15" s="66"/>
      <c r="K15" s="66"/>
      <c r="L15" s="66"/>
      <c r="M15" s="66"/>
      <c r="N15" s="66"/>
      <c r="O15" s="66"/>
      <c r="P15" s="62"/>
      <c r="Q15" s="62"/>
      <c r="R15" s="62"/>
      <c r="S15" s="62"/>
      <c r="T15" s="62"/>
      <c r="U15" s="62"/>
    </row>
    <row r="16" spans="1:21" x14ac:dyDescent="0.2">
      <c r="A16" s="97" t="s">
        <v>54</v>
      </c>
      <c r="B16" s="74"/>
      <c r="C16" s="74"/>
      <c r="D16" s="165">
        <f>DATABANK!C59</f>
        <v>8994.2999999999993</v>
      </c>
      <c r="E16" s="201" t="s">
        <v>33</v>
      </c>
      <c r="F16" s="196">
        <f>ROUND(B15*E$3/100*D16,2)</f>
        <v>0</v>
      </c>
      <c r="G16" s="196">
        <f t="shared" si="0"/>
        <v>0</v>
      </c>
      <c r="H16" s="211"/>
      <c r="I16" s="101"/>
      <c r="J16" s="66"/>
      <c r="K16" s="66"/>
      <c r="L16" s="66"/>
      <c r="M16" s="66"/>
      <c r="N16" s="66"/>
      <c r="O16" s="66"/>
    </row>
    <row r="17" spans="1:15" ht="15.75" thickBot="1" x14ac:dyDescent="0.25">
      <c r="A17" s="170" t="s">
        <v>121</v>
      </c>
      <c r="B17" s="173"/>
      <c r="C17" s="173"/>
      <c r="D17" s="172">
        <f>D14</f>
        <v>18776</v>
      </c>
      <c r="E17" s="207" t="s">
        <v>33</v>
      </c>
      <c r="F17" s="218">
        <f>ROUND(B15*E$3/100*D17,2)</f>
        <v>0</v>
      </c>
      <c r="G17" s="218">
        <f t="shared" si="0"/>
        <v>0</v>
      </c>
      <c r="H17" s="211"/>
      <c r="I17" s="101"/>
      <c r="J17" s="66"/>
      <c r="K17" s="66"/>
      <c r="L17" s="66"/>
      <c r="M17" s="66"/>
      <c r="N17" s="66"/>
      <c r="O17" s="66"/>
    </row>
    <row r="18" spans="1:15" x14ac:dyDescent="0.2">
      <c r="A18" s="186" t="s">
        <v>150</v>
      </c>
      <c r="B18" s="169"/>
      <c r="C18" s="169"/>
      <c r="D18" s="187">
        <f>DATABANK!C102</f>
        <v>3597.72</v>
      </c>
      <c r="E18" s="202"/>
      <c r="F18" s="196">
        <f>ROUND(E$3/100*D18,2)</f>
        <v>3597.72</v>
      </c>
      <c r="G18" s="196">
        <f t="shared" ref="G18" si="1">ROUND(F18/12,2)</f>
        <v>299.81</v>
      </c>
      <c r="H18" s="211"/>
      <c r="I18" s="101"/>
      <c r="J18" s="66"/>
      <c r="K18" s="66"/>
      <c r="L18" s="66"/>
      <c r="M18" s="66"/>
      <c r="N18" s="66"/>
      <c r="O18" s="66"/>
    </row>
    <row r="19" spans="1:15" x14ac:dyDescent="0.2">
      <c r="A19" s="167" t="s">
        <v>122</v>
      </c>
      <c r="B19" s="169"/>
      <c r="C19" s="169"/>
      <c r="D19" s="168">
        <f>DATABANK!C$75</f>
        <v>2055.84</v>
      </c>
      <c r="E19" s="202" t="s">
        <v>59</v>
      </c>
      <c r="F19" s="218">
        <f>D19</f>
        <v>2055.84</v>
      </c>
      <c r="G19" s="218">
        <f t="shared" si="0"/>
        <v>171.32</v>
      </c>
      <c r="H19" s="211"/>
      <c r="I19" s="101"/>
      <c r="J19" s="66"/>
      <c r="K19" s="66"/>
      <c r="L19" s="66"/>
      <c r="M19" s="66"/>
      <c r="N19" s="66"/>
      <c r="O19" s="66"/>
    </row>
    <row r="20" spans="1:15" ht="15.75" thickBot="1" x14ac:dyDescent="0.25">
      <c r="A20" s="175" t="s">
        <v>95</v>
      </c>
      <c r="B20" s="176"/>
      <c r="C20" s="177"/>
      <c r="D20" s="178">
        <f>DATABANK!C$89</f>
        <v>7580.91</v>
      </c>
      <c r="E20" s="202" t="s">
        <v>34</v>
      </c>
      <c r="F20" s="219">
        <f>D20</f>
        <v>7580.91</v>
      </c>
      <c r="G20" s="219">
        <f t="shared" si="0"/>
        <v>631.74</v>
      </c>
      <c r="H20" s="212"/>
      <c r="I20" s="101"/>
      <c r="J20" s="66"/>
      <c r="K20" s="66"/>
      <c r="L20" s="66"/>
      <c r="M20" s="66"/>
      <c r="N20" s="66"/>
      <c r="O20" s="66"/>
    </row>
    <row r="21" spans="1:15" ht="15.75" thickBot="1" x14ac:dyDescent="0.25">
      <c r="A21" s="175" t="s">
        <v>124</v>
      </c>
      <c r="B21" s="179"/>
      <c r="C21" s="169" t="s">
        <v>8</v>
      </c>
      <c r="D21" s="178">
        <f>DATABANK!C$92</f>
        <v>9251.2800000000007</v>
      </c>
      <c r="E21" s="202" t="s">
        <v>34</v>
      </c>
      <c r="F21" s="219">
        <f>D21*B21</f>
        <v>0</v>
      </c>
      <c r="G21" s="219">
        <f t="shared" si="0"/>
        <v>0</v>
      </c>
      <c r="H21" s="212"/>
      <c r="I21" s="101"/>
      <c r="J21" s="66"/>
      <c r="K21" s="66"/>
      <c r="L21" s="66"/>
      <c r="M21" s="66"/>
      <c r="N21" s="66"/>
      <c r="O21" s="66"/>
    </row>
    <row r="22" spans="1:15" ht="15.75" thickBot="1" x14ac:dyDescent="0.25">
      <c r="A22" s="175" t="s">
        <v>125</v>
      </c>
      <c r="B22" s="180"/>
      <c r="C22" s="169" t="s">
        <v>8</v>
      </c>
      <c r="D22" s="178">
        <f>DATABANK!C$78</f>
        <v>30837.599999999999</v>
      </c>
      <c r="E22" s="202" t="s">
        <v>34</v>
      </c>
      <c r="F22" s="219">
        <f>D22*B22</f>
        <v>0</v>
      </c>
      <c r="G22" s="219">
        <f t="shared" si="0"/>
        <v>0</v>
      </c>
      <c r="H22" s="212"/>
      <c r="I22" s="101"/>
      <c r="J22" s="66"/>
      <c r="K22" s="66"/>
      <c r="L22" s="66"/>
      <c r="M22" s="66"/>
      <c r="N22" s="66"/>
      <c r="O22" s="66"/>
    </row>
    <row r="23" spans="1:15" ht="15.75" thickBot="1" x14ac:dyDescent="0.25">
      <c r="A23" s="175" t="s">
        <v>126</v>
      </c>
      <c r="B23" s="180"/>
      <c r="C23" s="169" t="s">
        <v>8</v>
      </c>
      <c r="D23" s="178">
        <f>DATABANK!C$79</f>
        <v>21843.3</v>
      </c>
      <c r="E23" s="202" t="s">
        <v>34</v>
      </c>
      <c r="F23" s="219">
        <f>D23*B23</f>
        <v>0</v>
      </c>
      <c r="G23" s="219">
        <f t="shared" si="0"/>
        <v>0</v>
      </c>
      <c r="H23" s="212"/>
      <c r="I23" s="101"/>
      <c r="J23" s="66"/>
      <c r="K23" s="66"/>
      <c r="L23" s="66"/>
      <c r="M23" s="66"/>
      <c r="N23" s="66"/>
      <c r="O23" s="66"/>
    </row>
    <row r="24" spans="1:15" ht="15.75" thickBot="1" x14ac:dyDescent="0.25">
      <c r="A24" s="175" t="s">
        <v>83</v>
      </c>
      <c r="B24" s="181"/>
      <c r="C24" s="169" t="s">
        <v>8</v>
      </c>
      <c r="D24" s="178">
        <f>DATABANK!C$80</f>
        <v>12849</v>
      </c>
      <c r="E24" s="202" t="s">
        <v>34</v>
      </c>
      <c r="F24" s="219">
        <f t="shared" ref="F24:F29" si="2">B24*D24</f>
        <v>0</v>
      </c>
      <c r="G24" s="219">
        <f t="shared" si="0"/>
        <v>0</v>
      </c>
      <c r="H24" s="212"/>
      <c r="I24" s="101"/>
      <c r="J24" s="66"/>
      <c r="K24" s="66"/>
      <c r="L24" s="66"/>
      <c r="M24" s="66"/>
      <c r="N24" s="66"/>
      <c r="O24" s="66"/>
    </row>
    <row r="25" spans="1:15" ht="15.75" thickBot="1" x14ac:dyDescent="0.25">
      <c r="A25" s="175" t="s">
        <v>127</v>
      </c>
      <c r="B25" s="181"/>
      <c r="C25" s="177"/>
      <c r="D25" s="178">
        <f>DATABANK!C$81</f>
        <v>128.49</v>
      </c>
      <c r="E25" s="203" t="s">
        <v>131</v>
      </c>
      <c r="F25" s="219">
        <f t="shared" si="2"/>
        <v>0</v>
      </c>
      <c r="G25" s="219">
        <f t="shared" si="0"/>
        <v>0</v>
      </c>
      <c r="H25" s="212"/>
      <c r="I25" s="101"/>
      <c r="J25" s="66"/>
      <c r="K25" s="66"/>
      <c r="L25" s="66"/>
      <c r="M25" s="66"/>
      <c r="N25" s="66"/>
      <c r="O25" s="66"/>
    </row>
    <row r="26" spans="1:15" ht="15.75" thickBot="1" x14ac:dyDescent="0.25">
      <c r="A26" s="175" t="s">
        <v>129</v>
      </c>
      <c r="B26" s="179"/>
      <c r="C26" s="169" t="s">
        <v>8</v>
      </c>
      <c r="D26" s="178">
        <f>DATABANK!C$83</f>
        <v>3854.7</v>
      </c>
      <c r="E26" s="202" t="s">
        <v>34</v>
      </c>
      <c r="F26" s="219">
        <f t="shared" si="2"/>
        <v>0</v>
      </c>
      <c r="G26" s="219">
        <f t="shared" si="0"/>
        <v>0</v>
      </c>
      <c r="H26" s="212"/>
      <c r="I26" s="101"/>
      <c r="J26" s="66"/>
      <c r="K26" s="66"/>
      <c r="L26" s="66"/>
      <c r="M26" s="66"/>
      <c r="N26" s="66"/>
      <c r="O26" s="66"/>
    </row>
    <row r="27" spans="1:15" ht="15.75" thickBot="1" x14ac:dyDescent="0.25">
      <c r="A27" s="175" t="s">
        <v>128</v>
      </c>
      <c r="B27" s="180"/>
      <c r="C27" s="169" t="s">
        <v>8</v>
      </c>
      <c r="D27" s="178">
        <f>DATABANK!C$84</f>
        <v>1284.9000000000001</v>
      </c>
      <c r="E27" s="202" t="s">
        <v>34</v>
      </c>
      <c r="F27" s="219">
        <f t="shared" si="2"/>
        <v>0</v>
      </c>
      <c r="G27" s="219">
        <f t="shared" si="0"/>
        <v>0</v>
      </c>
      <c r="H27" s="212"/>
      <c r="I27" s="101"/>
      <c r="J27" s="66"/>
      <c r="K27" s="66"/>
      <c r="L27" s="66"/>
      <c r="M27" s="66"/>
      <c r="N27" s="66"/>
      <c r="O27" s="66"/>
    </row>
    <row r="28" spans="1:15" ht="15.75" thickBot="1" x14ac:dyDescent="0.25">
      <c r="A28" s="175" t="s">
        <v>112</v>
      </c>
      <c r="B28" s="181"/>
      <c r="C28" s="177" t="s">
        <v>8</v>
      </c>
      <c r="D28" s="178">
        <f>DATABANK!C85</f>
        <v>3854.7</v>
      </c>
      <c r="E28" s="202" t="s">
        <v>34</v>
      </c>
      <c r="F28" s="219">
        <f t="shared" si="2"/>
        <v>0</v>
      </c>
      <c r="G28" s="219">
        <f>ROUND(F28/12,2)</f>
        <v>0</v>
      </c>
      <c r="H28" s="212"/>
      <c r="I28" s="101"/>
      <c r="J28" s="66"/>
      <c r="K28" s="66"/>
      <c r="L28" s="66"/>
      <c r="M28" s="66"/>
      <c r="N28" s="66"/>
      <c r="O28" s="66"/>
    </row>
    <row r="29" spans="1:15" ht="15.75" thickBot="1" x14ac:dyDescent="0.25">
      <c r="A29" s="175" t="s">
        <v>132</v>
      </c>
      <c r="B29" s="181"/>
      <c r="C29" s="177" t="s">
        <v>8</v>
      </c>
      <c r="D29" s="178">
        <f>DATABANK!C$86</f>
        <v>1927.35</v>
      </c>
      <c r="E29" s="202" t="s">
        <v>34</v>
      </c>
      <c r="F29" s="219">
        <f t="shared" si="2"/>
        <v>0</v>
      </c>
      <c r="G29" s="219">
        <f>ROUND(F29/12,2)</f>
        <v>0</v>
      </c>
      <c r="H29" s="212"/>
      <c r="I29" s="101"/>
      <c r="J29" s="66"/>
      <c r="K29" s="66"/>
      <c r="L29" s="66"/>
      <c r="M29" s="66"/>
      <c r="N29" s="66"/>
      <c r="O29" s="66"/>
    </row>
    <row r="30" spans="1:15" ht="15.75" thickBot="1" x14ac:dyDescent="0.25">
      <c r="A30" s="183" t="s">
        <v>133</v>
      </c>
      <c r="B30" s="181"/>
      <c r="C30" s="177"/>
      <c r="D30" s="178"/>
      <c r="E30" s="202"/>
      <c r="F30" s="220"/>
      <c r="G30" s="220"/>
      <c r="H30" s="212"/>
      <c r="I30" s="101"/>
      <c r="J30" s="117"/>
      <c r="K30" s="118"/>
    </row>
    <row r="31" spans="1:15" x14ac:dyDescent="0.2">
      <c r="A31" s="175" t="s">
        <v>123</v>
      </c>
      <c r="B31" s="247">
        <f>IF(B30&lt;B$3/37*700.5,1,0)</f>
        <v>1</v>
      </c>
      <c r="C31" s="169"/>
      <c r="D31" s="168">
        <f>DATABANK!C$64</f>
        <v>15418.8</v>
      </c>
      <c r="E31" s="202" t="s">
        <v>34</v>
      </c>
      <c r="F31" s="219">
        <f t="shared" ref="F31:F34" si="3">D31*B31</f>
        <v>15418.8</v>
      </c>
      <c r="G31" s="219">
        <f t="shared" ref="G31:G40" si="4">ROUND(F31/12,2)</f>
        <v>1284.9000000000001</v>
      </c>
      <c r="H31" s="212"/>
      <c r="I31" s="101"/>
    </row>
    <row r="32" spans="1:15" x14ac:dyDescent="0.2">
      <c r="A32" s="175" t="s">
        <v>134</v>
      </c>
      <c r="B32" s="247">
        <f>IF(B30&gt;B$3/37*700.5,1-B33-B34,0)</f>
        <v>0</v>
      </c>
      <c r="C32" s="169"/>
      <c r="D32" s="168">
        <f>DATABANK!C$65</f>
        <v>17346.150000000001</v>
      </c>
      <c r="E32" s="202" t="s">
        <v>34</v>
      </c>
      <c r="F32" s="219">
        <f t="shared" si="3"/>
        <v>0</v>
      </c>
      <c r="G32" s="219">
        <f t="shared" si="4"/>
        <v>0</v>
      </c>
      <c r="H32" s="213"/>
      <c r="I32" s="101"/>
    </row>
    <row r="33" spans="1:11" x14ac:dyDescent="0.2">
      <c r="A33" s="175" t="s">
        <v>135</v>
      </c>
      <c r="B33" s="247">
        <f>IF(B30&gt;B$3/37*735.5,1-B34,0)</f>
        <v>0</v>
      </c>
      <c r="C33" s="169"/>
      <c r="D33" s="168">
        <f>DATABANK!C$66</f>
        <v>23128.2</v>
      </c>
      <c r="E33" s="202" t="s">
        <v>34</v>
      </c>
      <c r="F33" s="219">
        <f t="shared" si="3"/>
        <v>0</v>
      </c>
      <c r="G33" s="219">
        <f t="shared" si="4"/>
        <v>0</v>
      </c>
      <c r="H33" s="212"/>
      <c r="I33" s="101"/>
    </row>
    <row r="34" spans="1:11" ht="15.75" thickBot="1" x14ac:dyDescent="0.25">
      <c r="A34" s="175" t="s">
        <v>136</v>
      </c>
      <c r="B34" s="247">
        <f>IF(B30&gt;B$3/37*770.4999,1,0)</f>
        <v>0</v>
      </c>
      <c r="C34" s="169"/>
      <c r="D34" s="168">
        <f>DATABANK!C$67</f>
        <v>26340.45</v>
      </c>
      <c r="E34" s="202" t="s">
        <v>34</v>
      </c>
      <c r="F34" s="219">
        <f t="shared" si="3"/>
        <v>0</v>
      </c>
      <c r="G34" s="219">
        <f t="shared" si="4"/>
        <v>0</v>
      </c>
      <c r="H34" s="212"/>
      <c r="I34" s="101"/>
    </row>
    <row r="35" spans="1:11" ht="15.75" thickBot="1" x14ac:dyDescent="0.25">
      <c r="A35" s="68" t="s">
        <v>48</v>
      </c>
      <c r="B35" s="81"/>
      <c r="C35" s="71" t="s">
        <v>7</v>
      </c>
      <c r="D35" s="163">
        <f>DATABANK!$C$98</f>
        <v>41.67</v>
      </c>
      <c r="E35" s="204" t="s">
        <v>14</v>
      </c>
      <c r="F35" s="198">
        <f t="shared" ref="F35:F39" si="5">ROUND(B35*D35,2)</f>
        <v>0</v>
      </c>
      <c r="G35" s="198">
        <f t="shared" si="4"/>
        <v>0</v>
      </c>
      <c r="H35" s="212"/>
      <c r="I35" s="101"/>
    </row>
    <row r="36" spans="1:11" ht="15.75" thickBot="1" x14ac:dyDescent="0.25">
      <c r="A36" s="68" t="s">
        <v>63</v>
      </c>
      <c r="B36" s="81"/>
      <c r="C36" s="71" t="s">
        <v>7</v>
      </c>
      <c r="D36" s="163">
        <f>DATABANK!$C$99</f>
        <v>24.31</v>
      </c>
      <c r="E36" s="204" t="s">
        <v>14</v>
      </c>
      <c r="F36" s="198">
        <f t="shared" si="5"/>
        <v>0</v>
      </c>
      <c r="G36" s="198">
        <f t="shared" si="4"/>
        <v>0</v>
      </c>
      <c r="H36" s="212"/>
      <c r="I36" s="101"/>
    </row>
    <row r="37" spans="1:11" ht="15.75" thickBot="1" x14ac:dyDescent="0.25">
      <c r="A37" s="68" t="s">
        <v>51</v>
      </c>
      <c r="B37" s="81"/>
      <c r="C37" s="71" t="s">
        <v>7</v>
      </c>
      <c r="D37" s="163">
        <f>DATABANK!$C$100</f>
        <v>19.27</v>
      </c>
      <c r="E37" s="204" t="s">
        <v>14</v>
      </c>
      <c r="F37" s="198">
        <f t="shared" si="5"/>
        <v>0</v>
      </c>
      <c r="G37" s="198">
        <f t="shared" si="4"/>
        <v>0</v>
      </c>
      <c r="H37" s="212"/>
      <c r="I37" s="101"/>
    </row>
    <row r="38" spans="1:11" ht="15.75" thickBot="1" x14ac:dyDescent="0.25">
      <c r="A38" s="68" t="s">
        <v>53</v>
      </c>
      <c r="B38" s="81"/>
      <c r="C38" s="71" t="s">
        <v>7</v>
      </c>
      <c r="D38" s="163">
        <f>DATABANK!$C$101</f>
        <v>33.200000000000003</v>
      </c>
      <c r="E38" s="204" t="s">
        <v>14</v>
      </c>
      <c r="F38" s="198">
        <f t="shared" si="5"/>
        <v>0</v>
      </c>
      <c r="G38" s="198">
        <f t="shared" si="4"/>
        <v>0</v>
      </c>
      <c r="H38" s="212"/>
      <c r="I38" s="101"/>
    </row>
    <row r="39" spans="1:11" ht="15.75" thickBot="1" x14ac:dyDescent="0.25">
      <c r="A39" s="57" t="s">
        <v>61</v>
      </c>
      <c r="B39" s="82"/>
      <c r="C39" s="74" t="s">
        <v>8</v>
      </c>
      <c r="D39" s="163">
        <f>DATABANK!$C$107</f>
        <v>12849</v>
      </c>
      <c r="E39" s="204" t="s">
        <v>59</v>
      </c>
      <c r="F39" s="198">
        <f t="shared" si="5"/>
        <v>0</v>
      </c>
      <c r="G39" s="198">
        <f t="shared" si="4"/>
        <v>0</v>
      </c>
      <c r="H39" s="212"/>
      <c r="I39" s="101"/>
    </row>
    <row r="40" spans="1:11" ht="16.5" thickBot="1" x14ac:dyDescent="0.3">
      <c r="A40" s="91" t="s">
        <v>4</v>
      </c>
      <c r="B40" s="92"/>
      <c r="C40" s="93"/>
      <c r="D40" s="94"/>
      <c r="E40" s="95"/>
      <c r="F40" s="158">
        <f>SUM(F4:F39)</f>
        <v>328757.26999999996</v>
      </c>
      <c r="G40" s="158">
        <f t="shared" si="4"/>
        <v>27396.44</v>
      </c>
      <c r="H40" s="214">
        <f>SUM(H4:H39)</f>
        <v>0</v>
      </c>
      <c r="I40" s="101"/>
      <c r="K40" s="64"/>
    </row>
    <row r="41" spans="1:11" ht="16.5" thickBot="1" x14ac:dyDescent="0.3">
      <c r="A41" s="91" t="s">
        <v>72</v>
      </c>
      <c r="B41" s="104"/>
      <c r="C41" s="105"/>
      <c r="D41" s="106"/>
      <c r="E41" s="107"/>
      <c r="F41" s="159"/>
      <c r="G41" s="160">
        <f>H40-G40</f>
        <v>-27396.44</v>
      </c>
      <c r="H41" s="119"/>
      <c r="I41" s="101"/>
      <c r="K41" s="120"/>
    </row>
    <row r="42" spans="1:11" x14ac:dyDescent="0.2">
      <c r="A42" s="109" t="s">
        <v>73</v>
      </c>
      <c r="B42" s="52"/>
      <c r="C42" s="45"/>
      <c r="D42" s="46"/>
      <c r="E42" s="47"/>
    </row>
    <row r="43" spans="1:11" x14ac:dyDescent="0.2">
      <c r="A43" s="407"/>
      <c r="B43" s="408"/>
      <c r="C43" s="408"/>
      <c r="D43" s="408"/>
      <c r="E43" s="408"/>
      <c r="F43" s="408"/>
      <c r="G43" s="408"/>
      <c r="H43" s="409"/>
    </row>
    <row r="44" spans="1:11" x14ac:dyDescent="0.2">
      <c r="A44" s="410"/>
      <c r="B44" s="411"/>
      <c r="C44" s="411"/>
      <c r="D44" s="411"/>
      <c r="E44" s="411"/>
      <c r="F44" s="411"/>
      <c r="G44" s="411"/>
      <c r="H44" s="412"/>
    </row>
    <row r="45" spans="1:11" x14ac:dyDescent="0.2">
      <c r="A45" s="410"/>
      <c r="B45" s="411"/>
      <c r="C45" s="411"/>
      <c r="D45" s="411"/>
      <c r="E45" s="411"/>
      <c r="F45" s="411"/>
      <c r="G45" s="411"/>
      <c r="H45" s="412"/>
    </row>
    <row r="46" spans="1:11" x14ac:dyDescent="0.2">
      <c r="A46" s="410"/>
      <c r="B46" s="411"/>
      <c r="C46" s="411"/>
      <c r="D46" s="411"/>
      <c r="E46" s="411"/>
      <c r="F46" s="411"/>
      <c r="G46" s="411"/>
      <c r="H46" s="412"/>
    </row>
    <row r="47" spans="1:11" x14ac:dyDescent="0.2">
      <c r="A47" s="410"/>
      <c r="B47" s="411"/>
      <c r="C47" s="411"/>
      <c r="D47" s="411"/>
      <c r="E47" s="411"/>
      <c r="F47" s="411"/>
      <c r="G47" s="411"/>
      <c r="H47" s="412"/>
    </row>
    <row r="48" spans="1:11" x14ac:dyDescent="0.2">
      <c r="A48" s="413"/>
      <c r="B48" s="414"/>
      <c r="C48" s="414"/>
      <c r="D48" s="414"/>
      <c r="E48" s="414"/>
      <c r="F48" s="414"/>
      <c r="G48" s="414"/>
      <c r="H48" s="415"/>
    </row>
    <row r="49" spans="1:2" x14ac:dyDescent="0.2">
      <c r="A49" s="57" t="s">
        <v>78</v>
      </c>
      <c r="B49" s="108"/>
    </row>
  </sheetData>
  <mergeCells count="4">
    <mergeCell ref="F1:G1"/>
    <mergeCell ref="F2:G2"/>
    <mergeCell ref="H2:H3"/>
    <mergeCell ref="A43:H48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  <ignoredError sqref="G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T47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10.77734375" style="14" bestFit="1" customWidth="1"/>
    <col min="5" max="5" width="13.88671875" style="13" customWidth="1"/>
    <col min="6" max="7" width="10.77734375" style="15" customWidth="1"/>
    <col min="8" max="8" width="10.5546875" style="28" customWidth="1"/>
    <col min="9" max="9" width="6.77734375" style="62" bestFit="1" customWidth="1"/>
    <col min="10" max="12" width="6.44140625" style="63" bestFit="1" customWidth="1"/>
    <col min="13" max="18" width="5.77734375" style="63" customWidth="1"/>
    <col min="19" max="19" width="6.44140625" style="63" bestFit="1" customWidth="1"/>
    <col min="20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16" t="s">
        <v>62</v>
      </c>
      <c r="G1" s="417"/>
      <c r="I1" s="314"/>
    </row>
    <row r="2" spans="1:20" ht="15.75" customHeight="1" thickBot="1" x14ac:dyDescent="0.25">
      <c r="A2" s="57"/>
      <c r="B2" s="79"/>
      <c r="C2" s="79"/>
      <c r="D2" s="79"/>
      <c r="E2" s="79"/>
      <c r="F2" s="418" t="str">
        <f>DATABANK!B20</f>
        <v>1.1.2014</v>
      </c>
      <c r="G2" s="418"/>
      <c r="H2" s="405" t="s">
        <v>71</v>
      </c>
      <c r="I2" s="419" t="s">
        <v>153</v>
      </c>
      <c r="J2" s="315"/>
    </row>
    <row r="3" spans="1:20" ht="15.75" customHeight="1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83" t="s">
        <v>18</v>
      </c>
      <c r="G3" s="83" t="s">
        <v>17</v>
      </c>
      <c r="H3" s="406"/>
      <c r="I3" s="419"/>
      <c r="J3" s="315"/>
    </row>
    <row r="4" spans="1:20" x14ac:dyDescent="0.2">
      <c r="A4" s="57" t="s">
        <v>9</v>
      </c>
      <c r="B4" s="80">
        <v>35</v>
      </c>
      <c r="C4" s="71"/>
      <c r="D4" s="163">
        <f>DATABANK!B35</f>
        <v>335911</v>
      </c>
      <c r="E4" s="200" t="s">
        <v>33</v>
      </c>
      <c r="F4" s="195">
        <f>ROUND($E$3/100*D4,2)</f>
        <v>335911</v>
      </c>
      <c r="G4" s="195">
        <f>ROUND(F4/12,2)</f>
        <v>27992.58</v>
      </c>
      <c r="H4" s="215"/>
      <c r="I4" s="316"/>
      <c r="J4" s="317"/>
      <c r="K4" s="66"/>
      <c r="L4" s="66"/>
    </row>
    <row r="5" spans="1:20" x14ac:dyDescent="0.2">
      <c r="A5" s="186" t="s">
        <v>150</v>
      </c>
      <c r="B5" s="74"/>
      <c r="C5" s="74"/>
      <c r="D5" s="165">
        <f>DATABANK!C103</f>
        <v>4175.93</v>
      </c>
      <c r="E5" s="201" t="s">
        <v>33</v>
      </c>
      <c r="F5" s="196">
        <f>ROUND(E$3/100*D5,2)</f>
        <v>4175.93</v>
      </c>
      <c r="G5" s="196">
        <f t="shared" ref="G5" si="0">ROUND(F5/12,2)</f>
        <v>347.99</v>
      </c>
      <c r="H5" s="215"/>
      <c r="I5" s="316"/>
      <c r="J5" s="317"/>
      <c r="K5" s="66"/>
      <c r="L5" s="66"/>
      <c r="M5" s="66"/>
      <c r="T5" s="63"/>
    </row>
    <row r="6" spans="1:20" x14ac:dyDescent="0.2">
      <c r="A6" s="167" t="s">
        <v>121</v>
      </c>
      <c r="B6" s="169"/>
      <c r="C6" s="169"/>
      <c r="D6" s="168">
        <f>(DATABANK!B39-DATABANK!B35)</f>
        <v>20091</v>
      </c>
      <c r="E6" s="202" t="s">
        <v>33</v>
      </c>
      <c r="F6" s="218">
        <f>ROUND(E$3/100*D6,2)</f>
        <v>20091</v>
      </c>
      <c r="G6" s="218">
        <f t="shared" ref="G6:G7" si="1">ROUND(F6/12,2)</f>
        <v>1674.25</v>
      </c>
      <c r="H6" s="215"/>
      <c r="I6" s="316"/>
      <c r="J6" s="317"/>
      <c r="K6" s="66"/>
      <c r="L6" s="66"/>
      <c r="M6" s="62"/>
      <c r="N6" s="62"/>
      <c r="O6" s="62"/>
      <c r="P6" s="62"/>
      <c r="Q6" s="62"/>
      <c r="R6" s="62"/>
    </row>
    <row r="7" spans="1:20" x14ac:dyDescent="0.2">
      <c r="A7" s="167" t="s">
        <v>122</v>
      </c>
      <c r="B7" s="169"/>
      <c r="C7" s="169"/>
      <c r="D7" s="168">
        <f>DATABANK!C75</f>
        <v>2055.84</v>
      </c>
      <c r="E7" s="202" t="s">
        <v>59</v>
      </c>
      <c r="F7" s="218">
        <f>D7</f>
        <v>2055.84</v>
      </c>
      <c r="G7" s="218">
        <f t="shared" si="1"/>
        <v>171.32</v>
      </c>
      <c r="H7" s="215"/>
      <c r="I7" s="318">
        <f>0.173*G7</f>
        <v>29.638359999999995</v>
      </c>
      <c r="J7" s="66"/>
      <c r="K7" s="66"/>
      <c r="L7" s="66"/>
      <c r="M7" s="66"/>
      <c r="T7" s="63"/>
    </row>
    <row r="8" spans="1:20" ht="15.75" thickBot="1" x14ac:dyDescent="0.25">
      <c r="A8" s="175" t="s">
        <v>95</v>
      </c>
      <c r="B8" s="176"/>
      <c r="C8" s="177"/>
      <c r="D8" s="178">
        <f>DATABANK!C89</f>
        <v>7580.91</v>
      </c>
      <c r="E8" s="202" t="s">
        <v>34</v>
      </c>
      <c r="F8" s="219">
        <f>D8</f>
        <v>7580.91</v>
      </c>
      <c r="G8" s="219">
        <f t="shared" ref="G8:G14" si="2">ROUND(F8/12,2)</f>
        <v>631.74</v>
      </c>
      <c r="H8" s="216"/>
      <c r="I8" s="316">
        <f t="shared" ref="I8:I21" si="3">0.173*G8</f>
        <v>109.29101999999999</v>
      </c>
      <c r="J8" s="317"/>
      <c r="K8" s="66"/>
      <c r="L8" s="66"/>
      <c r="M8" s="66"/>
      <c r="T8" s="63"/>
    </row>
    <row r="9" spans="1:20" ht="15.75" thickBot="1" x14ac:dyDescent="0.25">
      <c r="A9" s="175" t="s">
        <v>124</v>
      </c>
      <c r="B9" s="179"/>
      <c r="C9" s="169" t="s">
        <v>8</v>
      </c>
      <c r="D9" s="178">
        <f>DATABANK!C$92</f>
        <v>9251.2800000000007</v>
      </c>
      <c r="E9" s="202" t="s">
        <v>34</v>
      </c>
      <c r="F9" s="219">
        <f>D9*B9</f>
        <v>0</v>
      </c>
      <c r="G9" s="219">
        <f t="shared" si="2"/>
        <v>0</v>
      </c>
      <c r="H9" s="216"/>
      <c r="I9" s="316">
        <f t="shared" si="3"/>
        <v>0</v>
      </c>
      <c r="J9" s="317"/>
      <c r="K9" s="66"/>
      <c r="L9" s="66"/>
      <c r="M9" s="66"/>
      <c r="T9" s="63"/>
    </row>
    <row r="10" spans="1:20" ht="15.75" thickBot="1" x14ac:dyDescent="0.25">
      <c r="A10" s="175" t="s">
        <v>125</v>
      </c>
      <c r="B10" s="180"/>
      <c r="C10" s="169" t="s">
        <v>8</v>
      </c>
      <c r="D10" s="178">
        <f>DATABANK!C$78</f>
        <v>30837.599999999999</v>
      </c>
      <c r="E10" s="202" t="s">
        <v>34</v>
      </c>
      <c r="F10" s="219">
        <f>D10*B10</f>
        <v>0</v>
      </c>
      <c r="G10" s="219">
        <f t="shared" si="2"/>
        <v>0</v>
      </c>
      <c r="H10" s="216"/>
      <c r="I10" s="316">
        <f t="shared" si="3"/>
        <v>0</v>
      </c>
      <c r="J10" s="317"/>
      <c r="K10" s="66"/>
      <c r="L10" s="66"/>
      <c r="M10" s="66"/>
      <c r="T10" s="63"/>
    </row>
    <row r="11" spans="1:20" ht="15.75" thickBot="1" x14ac:dyDescent="0.25">
      <c r="A11" s="175" t="s">
        <v>126</v>
      </c>
      <c r="B11" s="180"/>
      <c r="C11" s="169" t="s">
        <v>8</v>
      </c>
      <c r="D11" s="178">
        <f>DATABANK!C$79</f>
        <v>21843.3</v>
      </c>
      <c r="E11" s="202" t="s">
        <v>34</v>
      </c>
      <c r="F11" s="219">
        <f>D11*B11</f>
        <v>0</v>
      </c>
      <c r="G11" s="219">
        <f t="shared" si="2"/>
        <v>0</v>
      </c>
      <c r="H11" s="216"/>
      <c r="I11" s="316">
        <f t="shared" si="3"/>
        <v>0</v>
      </c>
      <c r="J11" s="317"/>
      <c r="K11" s="66"/>
      <c r="L11" s="66"/>
      <c r="M11" s="66"/>
      <c r="T11" s="63"/>
    </row>
    <row r="12" spans="1:20" ht="15.75" thickBot="1" x14ac:dyDescent="0.25">
      <c r="A12" s="175" t="s">
        <v>127</v>
      </c>
      <c r="B12" s="181"/>
      <c r="C12" s="177"/>
      <c r="D12" s="178">
        <f>DATABANK!C82</f>
        <v>96.37</v>
      </c>
      <c r="E12" s="203" t="s">
        <v>131</v>
      </c>
      <c r="F12" s="219">
        <f>B12*D12</f>
        <v>0</v>
      </c>
      <c r="G12" s="219">
        <f t="shared" si="2"/>
        <v>0</v>
      </c>
      <c r="H12" s="216"/>
      <c r="I12" s="316">
        <f t="shared" si="3"/>
        <v>0</v>
      </c>
      <c r="J12" s="317"/>
      <c r="K12" s="66"/>
      <c r="L12" s="66"/>
      <c r="M12" s="66"/>
      <c r="T12" s="63"/>
    </row>
    <row r="13" spans="1:20" ht="15.75" thickBot="1" x14ac:dyDescent="0.25">
      <c r="A13" s="175" t="s">
        <v>129</v>
      </c>
      <c r="B13" s="179"/>
      <c r="C13" s="169" t="s">
        <v>8</v>
      </c>
      <c r="D13" s="178">
        <f>DATABANK!C$83</f>
        <v>3854.7</v>
      </c>
      <c r="E13" s="202" t="s">
        <v>34</v>
      </c>
      <c r="F13" s="219">
        <f>B13*D13</f>
        <v>0</v>
      </c>
      <c r="G13" s="219">
        <f t="shared" si="2"/>
        <v>0</v>
      </c>
      <c r="H13" s="216"/>
      <c r="I13" s="316">
        <f t="shared" si="3"/>
        <v>0</v>
      </c>
      <c r="J13" s="317"/>
      <c r="K13" s="66"/>
      <c r="L13" s="66"/>
      <c r="M13" s="66"/>
      <c r="T13" s="63"/>
    </row>
    <row r="14" spans="1:20" ht="15.75" thickBot="1" x14ac:dyDescent="0.25">
      <c r="A14" s="175" t="s">
        <v>128</v>
      </c>
      <c r="B14" s="180"/>
      <c r="C14" s="169" t="s">
        <v>8</v>
      </c>
      <c r="D14" s="178">
        <f>DATABANK!C$84</f>
        <v>1284.9000000000001</v>
      </c>
      <c r="E14" s="202" t="s">
        <v>34</v>
      </c>
      <c r="F14" s="219">
        <f>B14*D14</f>
        <v>0</v>
      </c>
      <c r="G14" s="219">
        <f t="shared" si="2"/>
        <v>0</v>
      </c>
      <c r="H14" s="216"/>
      <c r="I14" s="316">
        <f t="shared" si="3"/>
        <v>0</v>
      </c>
      <c r="J14" s="317"/>
      <c r="K14" s="66"/>
      <c r="L14" s="66"/>
      <c r="M14" s="66"/>
      <c r="T14" s="63"/>
    </row>
    <row r="15" spans="1:20" ht="15.75" thickBot="1" x14ac:dyDescent="0.25">
      <c r="A15" s="175" t="s">
        <v>112</v>
      </c>
      <c r="B15" s="181"/>
      <c r="C15" s="177" t="s">
        <v>8</v>
      </c>
      <c r="D15" s="178">
        <f>DATABANK!C85</f>
        <v>3854.7</v>
      </c>
      <c r="E15" s="202" t="s">
        <v>34</v>
      </c>
      <c r="F15" s="219">
        <f>B15*D15</f>
        <v>0</v>
      </c>
      <c r="G15" s="219">
        <f>ROUND(F15/12,2)</f>
        <v>0</v>
      </c>
      <c r="H15" s="216"/>
      <c r="I15" s="316">
        <f t="shared" si="3"/>
        <v>0</v>
      </c>
      <c r="J15" s="317"/>
      <c r="K15" s="66"/>
      <c r="L15" s="66"/>
      <c r="M15" s="66"/>
      <c r="T15" s="63"/>
    </row>
    <row r="16" spans="1:20" ht="15.75" thickBot="1" x14ac:dyDescent="0.25">
      <c r="A16" s="175" t="s">
        <v>132</v>
      </c>
      <c r="B16" s="181"/>
      <c r="C16" s="177" t="s">
        <v>8</v>
      </c>
      <c r="D16" s="178">
        <f>DATABANK!C$86</f>
        <v>1927.35</v>
      </c>
      <c r="E16" s="202" t="s">
        <v>34</v>
      </c>
      <c r="F16" s="219">
        <f>B16*D16</f>
        <v>0</v>
      </c>
      <c r="G16" s="219">
        <f>ROUND(F16/12,2)</f>
        <v>0</v>
      </c>
      <c r="H16" s="216"/>
      <c r="I16" s="316">
        <f t="shared" si="3"/>
        <v>0</v>
      </c>
      <c r="J16" s="317"/>
      <c r="K16" s="66"/>
      <c r="L16" s="66"/>
      <c r="M16" s="66"/>
      <c r="T16" s="63"/>
    </row>
    <row r="17" spans="1:20" ht="15.75" thickBot="1" x14ac:dyDescent="0.25">
      <c r="A17" s="183" t="s">
        <v>133</v>
      </c>
      <c r="B17" s="181"/>
      <c r="C17" s="177"/>
      <c r="D17" s="178"/>
      <c r="E17" s="202"/>
      <c r="F17" s="220"/>
      <c r="G17" s="220"/>
      <c r="H17" s="216"/>
      <c r="I17" s="316">
        <f t="shared" si="3"/>
        <v>0</v>
      </c>
      <c r="J17" s="319"/>
      <c r="T17" s="63"/>
    </row>
    <row r="18" spans="1:20" x14ac:dyDescent="0.2">
      <c r="A18" s="175" t="s">
        <v>123</v>
      </c>
      <c r="B18" s="247">
        <f>IF(B17&lt;B$3/37*700.5,1,0)</f>
        <v>1</v>
      </c>
      <c r="C18" s="169"/>
      <c r="D18" s="168">
        <f>B3/37*DATABANK!B70</f>
        <v>4300</v>
      </c>
      <c r="E18" s="202" t="s">
        <v>34</v>
      </c>
      <c r="F18" s="219">
        <f t="shared" ref="F18:F21" si="4">D18*B18</f>
        <v>4300</v>
      </c>
      <c r="G18" s="219">
        <f t="shared" ref="G18:G27" si="5">ROUND(F18/12,2)</f>
        <v>358.33</v>
      </c>
      <c r="H18" s="216"/>
      <c r="I18" s="316">
        <f t="shared" si="3"/>
        <v>61.991089999999993</v>
      </c>
      <c r="J18" s="319"/>
      <c r="T18" s="63"/>
    </row>
    <row r="19" spans="1:20" x14ac:dyDescent="0.2">
      <c r="A19" s="175" t="s">
        <v>134</v>
      </c>
      <c r="B19" s="247">
        <f>IF(B17&gt;B$3/37*700.5,1-B20-B21,0)</f>
        <v>0</v>
      </c>
      <c r="C19" s="169"/>
      <c r="D19" s="168">
        <f>DATABANK!C71</f>
        <v>7709.4</v>
      </c>
      <c r="E19" s="202" t="s">
        <v>34</v>
      </c>
      <c r="F19" s="219">
        <f t="shared" si="4"/>
        <v>0</v>
      </c>
      <c r="G19" s="219">
        <f t="shared" si="5"/>
        <v>0</v>
      </c>
      <c r="H19" s="217"/>
      <c r="I19" s="316">
        <f t="shared" si="3"/>
        <v>0</v>
      </c>
      <c r="J19" s="319"/>
      <c r="T19" s="63"/>
    </row>
    <row r="20" spans="1:20" x14ac:dyDescent="0.2">
      <c r="A20" s="175" t="s">
        <v>135</v>
      </c>
      <c r="B20" s="247">
        <f>IF(B17&gt;B$3/37*735.5,1-B21,0)</f>
        <v>0</v>
      </c>
      <c r="C20" s="169"/>
      <c r="D20" s="168">
        <f>DATABANK!C72</f>
        <v>12849</v>
      </c>
      <c r="E20" s="202" t="s">
        <v>34</v>
      </c>
      <c r="F20" s="219">
        <f t="shared" si="4"/>
        <v>0</v>
      </c>
      <c r="G20" s="219">
        <f t="shared" si="5"/>
        <v>0</v>
      </c>
      <c r="H20" s="216"/>
      <c r="I20" s="316">
        <f t="shared" si="3"/>
        <v>0</v>
      </c>
      <c r="J20" s="319"/>
      <c r="T20" s="63"/>
    </row>
    <row r="21" spans="1:20" ht="15.75" thickBot="1" x14ac:dyDescent="0.25">
      <c r="A21" s="175" t="s">
        <v>136</v>
      </c>
      <c r="B21" s="247">
        <f>IF(B17&gt;B$3/37*770.4999,1,0)</f>
        <v>0</v>
      </c>
      <c r="C21" s="169"/>
      <c r="D21" s="168">
        <f>DATABANK!C73</f>
        <v>16703.7</v>
      </c>
      <c r="E21" s="202" t="s">
        <v>34</v>
      </c>
      <c r="F21" s="219">
        <f t="shared" si="4"/>
        <v>0</v>
      </c>
      <c r="G21" s="219">
        <f t="shared" si="5"/>
        <v>0</v>
      </c>
      <c r="H21" s="216"/>
      <c r="I21" s="316">
        <f t="shared" si="3"/>
        <v>0</v>
      </c>
      <c r="J21" s="319"/>
      <c r="T21" s="63"/>
    </row>
    <row r="22" spans="1:20" ht="15.75" thickBot="1" x14ac:dyDescent="0.25">
      <c r="A22" s="68" t="s">
        <v>48</v>
      </c>
      <c r="B22" s="81"/>
      <c r="C22" s="71" t="s">
        <v>7</v>
      </c>
      <c r="D22" s="163">
        <f>DATABANK!$C$98</f>
        <v>41.67</v>
      </c>
      <c r="E22" s="204" t="s">
        <v>14</v>
      </c>
      <c r="F22" s="198">
        <f t="shared" ref="F22:F26" si="6">ROUND(B22*D22,2)</f>
        <v>0</v>
      </c>
      <c r="G22" s="198">
        <f t="shared" si="5"/>
        <v>0</v>
      </c>
      <c r="H22" s="216"/>
      <c r="I22" s="316">
        <f t="shared" ref="I22:I26" si="7">0.173*G22</f>
        <v>0</v>
      </c>
      <c r="J22" s="319"/>
      <c r="T22" s="63"/>
    </row>
    <row r="23" spans="1:20" ht="15.75" thickBot="1" x14ac:dyDescent="0.25">
      <c r="A23" s="68" t="s">
        <v>63</v>
      </c>
      <c r="B23" s="81"/>
      <c r="C23" s="71" t="s">
        <v>7</v>
      </c>
      <c r="D23" s="163">
        <f>DATABANK!$C$99</f>
        <v>24.31</v>
      </c>
      <c r="E23" s="204" t="s">
        <v>14</v>
      </c>
      <c r="F23" s="198">
        <f t="shared" si="6"/>
        <v>0</v>
      </c>
      <c r="G23" s="198">
        <f t="shared" si="5"/>
        <v>0</v>
      </c>
      <c r="H23" s="216"/>
      <c r="I23" s="316">
        <f t="shared" si="7"/>
        <v>0</v>
      </c>
      <c r="J23" s="319"/>
      <c r="T23" s="63"/>
    </row>
    <row r="24" spans="1:20" ht="15.75" thickBot="1" x14ac:dyDescent="0.25">
      <c r="A24" s="68" t="s">
        <v>51</v>
      </c>
      <c r="B24" s="81"/>
      <c r="C24" s="71" t="s">
        <v>7</v>
      </c>
      <c r="D24" s="163">
        <f>DATABANK!$C$100</f>
        <v>19.27</v>
      </c>
      <c r="E24" s="204" t="s">
        <v>14</v>
      </c>
      <c r="F24" s="198">
        <f t="shared" si="6"/>
        <v>0</v>
      </c>
      <c r="G24" s="198">
        <f t="shared" si="5"/>
        <v>0</v>
      </c>
      <c r="H24" s="216"/>
      <c r="I24" s="316">
        <f t="shared" si="7"/>
        <v>0</v>
      </c>
      <c r="J24" s="319"/>
      <c r="T24" s="63"/>
    </row>
    <row r="25" spans="1:20" ht="15.75" thickBot="1" x14ac:dyDescent="0.25">
      <c r="A25" s="68" t="s">
        <v>53</v>
      </c>
      <c r="B25" s="81"/>
      <c r="C25" s="71" t="s">
        <v>7</v>
      </c>
      <c r="D25" s="163">
        <f>DATABANK!$C$101</f>
        <v>33.200000000000003</v>
      </c>
      <c r="E25" s="204" t="s">
        <v>14</v>
      </c>
      <c r="F25" s="198">
        <f t="shared" si="6"/>
        <v>0</v>
      </c>
      <c r="G25" s="198">
        <f t="shared" si="5"/>
        <v>0</v>
      </c>
      <c r="H25" s="216"/>
      <c r="I25" s="316">
        <f t="shared" si="7"/>
        <v>0</v>
      </c>
      <c r="J25" s="319"/>
      <c r="T25" s="63"/>
    </row>
    <row r="26" spans="1:20" ht="15.75" thickBot="1" x14ac:dyDescent="0.25">
      <c r="A26" s="57" t="s">
        <v>61</v>
      </c>
      <c r="B26" s="82"/>
      <c r="C26" s="74" t="s">
        <v>8</v>
      </c>
      <c r="D26" s="163">
        <f>DATABANK!$C$107</f>
        <v>12849</v>
      </c>
      <c r="E26" s="204" t="s">
        <v>59</v>
      </c>
      <c r="F26" s="198">
        <f t="shared" si="6"/>
        <v>0</v>
      </c>
      <c r="G26" s="198">
        <f t="shared" si="5"/>
        <v>0</v>
      </c>
      <c r="H26" s="216"/>
      <c r="I26" s="316">
        <f t="shared" si="7"/>
        <v>0</v>
      </c>
      <c r="J26" s="319"/>
      <c r="T26" s="63"/>
    </row>
    <row r="27" spans="1:20" ht="16.5" thickBot="1" x14ac:dyDescent="0.3">
      <c r="A27" s="91" t="s">
        <v>4</v>
      </c>
      <c r="B27" s="92"/>
      <c r="C27" s="93"/>
      <c r="D27" s="94"/>
      <c r="E27" s="95"/>
      <c r="F27" s="158">
        <f>SUM(F4:F26)</f>
        <v>374114.68</v>
      </c>
      <c r="G27" s="158">
        <f t="shared" si="5"/>
        <v>31176.22</v>
      </c>
      <c r="H27" s="214">
        <f>SUM(H4:H26)</f>
        <v>0</v>
      </c>
      <c r="I27" s="320">
        <f>SUM(I4:I26)</f>
        <v>200.92046999999997</v>
      </c>
      <c r="J27" s="319"/>
      <c r="T27" s="63"/>
    </row>
    <row r="28" spans="1:20" ht="16.5" thickBot="1" x14ac:dyDescent="0.3">
      <c r="A28" s="91" t="s">
        <v>72</v>
      </c>
      <c r="B28" s="104"/>
      <c r="C28" s="105"/>
      <c r="D28" s="106"/>
      <c r="E28" s="107"/>
      <c r="F28" s="159"/>
      <c r="G28" s="160">
        <f>H27-G27</f>
        <v>-31176.22</v>
      </c>
      <c r="H28" s="119"/>
      <c r="J28" s="65"/>
      <c r="T28" s="63"/>
    </row>
    <row r="29" spans="1:20" x14ac:dyDescent="0.2">
      <c r="A29" s="109" t="s">
        <v>73</v>
      </c>
      <c r="B29" s="52"/>
      <c r="C29" s="45"/>
      <c r="D29" s="46"/>
      <c r="E29" s="47"/>
      <c r="F29" s="161"/>
      <c r="G29" s="161"/>
      <c r="H29" s="15"/>
      <c r="J29" s="65"/>
      <c r="T29" s="63"/>
    </row>
    <row r="30" spans="1:20" x14ac:dyDescent="0.2">
      <c r="A30" s="407"/>
      <c r="B30" s="408"/>
      <c r="C30" s="408"/>
      <c r="D30" s="408"/>
      <c r="E30" s="408"/>
      <c r="F30" s="408"/>
      <c r="G30" s="408"/>
      <c r="H30" s="409"/>
      <c r="J30" s="65"/>
      <c r="T30" s="63"/>
    </row>
    <row r="31" spans="1:20" x14ac:dyDescent="0.2">
      <c r="A31" s="410"/>
      <c r="B31" s="411"/>
      <c r="C31" s="411"/>
      <c r="D31" s="411"/>
      <c r="E31" s="411"/>
      <c r="F31" s="411"/>
      <c r="G31" s="411"/>
      <c r="H31" s="412"/>
      <c r="J31" s="65"/>
      <c r="T31" s="63"/>
    </row>
    <row r="32" spans="1:20" x14ac:dyDescent="0.2">
      <c r="A32" s="410"/>
      <c r="B32" s="411"/>
      <c r="C32" s="411"/>
      <c r="D32" s="411"/>
      <c r="E32" s="411"/>
      <c r="F32" s="411"/>
      <c r="G32" s="411"/>
      <c r="H32" s="412"/>
      <c r="J32" s="65"/>
      <c r="T32" s="63"/>
    </row>
    <row r="33" spans="1:20" x14ac:dyDescent="0.2">
      <c r="A33" s="410"/>
      <c r="B33" s="411"/>
      <c r="C33" s="411"/>
      <c r="D33" s="411"/>
      <c r="E33" s="411"/>
      <c r="F33" s="411"/>
      <c r="G33" s="411"/>
      <c r="H33" s="412"/>
      <c r="J33" s="65"/>
      <c r="T33" s="63"/>
    </row>
    <row r="34" spans="1:20" x14ac:dyDescent="0.2">
      <c r="A34" s="410"/>
      <c r="B34" s="411"/>
      <c r="C34" s="411"/>
      <c r="D34" s="411"/>
      <c r="E34" s="411"/>
      <c r="F34" s="411"/>
      <c r="G34" s="411"/>
      <c r="H34" s="412"/>
      <c r="J34" s="65"/>
      <c r="T34" s="63"/>
    </row>
    <row r="35" spans="1:20" x14ac:dyDescent="0.2">
      <c r="A35" s="413"/>
      <c r="B35" s="414"/>
      <c r="C35" s="414"/>
      <c r="D35" s="414"/>
      <c r="E35" s="414"/>
      <c r="F35" s="414"/>
      <c r="G35" s="414"/>
      <c r="H35" s="415"/>
      <c r="J35" s="65"/>
      <c r="T35" s="63"/>
    </row>
    <row r="36" spans="1:20" x14ac:dyDescent="0.2">
      <c r="A36" s="57" t="s">
        <v>78</v>
      </c>
      <c r="B36" s="108"/>
      <c r="F36" s="161"/>
      <c r="G36" s="161"/>
      <c r="H36" s="15"/>
      <c r="J36" s="65"/>
      <c r="T36" s="63"/>
    </row>
    <row r="37" spans="1:20" x14ac:dyDescent="0.2">
      <c r="F37" s="161"/>
      <c r="G37" s="161"/>
      <c r="H37" s="15"/>
      <c r="J37" s="65"/>
      <c r="T37" s="63"/>
    </row>
    <row r="38" spans="1:20" x14ac:dyDescent="0.2">
      <c r="F38" s="161"/>
      <c r="G38" s="161"/>
      <c r="H38" s="15"/>
      <c r="J38" s="65"/>
      <c r="T38" s="63"/>
    </row>
    <row r="39" spans="1:20" x14ac:dyDescent="0.2">
      <c r="F39" s="161"/>
      <c r="G39" s="161"/>
      <c r="H39" s="15"/>
      <c r="J39" s="65"/>
      <c r="T39" s="63"/>
    </row>
    <row r="40" spans="1:20" x14ac:dyDescent="0.2">
      <c r="F40" s="161"/>
      <c r="G40" s="161"/>
      <c r="H40" s="15"/>
      <c r="J40" s="65"/>
      <c r="T40" s="63"/>
    </row>
    <row r="41" spans="1:20" x14ac:dyDescent="0.2">
      <c r="F41" s="161"/>
      <c r="G41" s="161"/>
      <c r="H41" s="15"/>
      <c r="J41" s="65"/>
      <c r="T41" s="63"/>
    </row>
    <row r="42" spans="1:20" x14ac:dyDescent="0.2">
      <c r="F42" s="161"/>
      <c r="G42" s="161"/>
      <c r="H42" s="15"/>
      <c r="J42" s="65"/>
      <c r="T42" s="63"/>
    </row>
    <row r="43" spans="1:20" x14ac:dyDescent="0.2">
      <c r="F43" s="161"/>
      <c r="G43" s="161"/>
      <c r="H43" s="15"/>
      <c r="J43" s="65"/>
      <c r="T43" s="63"/>
    </row>
    <row r="44" spans="1:20" x14ac:dyDescent="0.2">
      <c r="F44" s="161"/>
      <c r="G44" s="161"/>
      <c r="H44" s="15"/>
      <c r="J44" s="65"/>
      <c r="T44" s="63"/>
    </row>
    <row r="45" spans="1:20" x14ac:dyDescent="0.2">
      <c r="F45" s="161"/>
      <c r="G45" s="161"/>
      <c r="H45" s="15"/>
      <c r="J45" s="65"/>
      <c r="T45" s="63"/>
    </row>
    <row r="46" spans="1:20" x14ac:dyDescent="0.2">
      <c r="F46" s="161"/>
      <c r="G46" s="161"/>
      <c r="H46" s="15"/>
      <c r="J46" s="65"/>
      <c r="T46" s="63"/>
    </row>
    <row r="47" spans="1:20" x14ac:dyDescent="0.2">
      <c r="F47" s="161"/>
      <c r="G47" s="161"/>
      <c r="H47" s="15"/>
      <c r="J47" s="65"/>
      <c r="T47" s="63"/>
    </row>
  </sheetData>
  <mergeCells count="5">
    <mergeCell ref="F1:G1"/>
    <mergeCell ref="F2:G2"/>
    <mergeCell ref="H2:H3"/>
    <mergeCell ref="A30:H35"/>
    <mergeCell ref="I2:I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7" orientation="portrait" r:id="rId1"/>
  <headerFooter alignWithMargins="0"/>
  <ignoredErrors>
    <ignoredError sqref="E3" unlockedFormula="1"/>
    <ignoredError sqref="G2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V59"/>
  <sheetViews>
    <sheetView zoomScaleNormal="100" workbookViewId="0"/>
  </sheetViews>
  <sheetFormatPr defaultRowHeight="15" x14ac:dyDescent="0.2"/>
  <cols>
    <col min="1" max="1" width="18" style="1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5" customWidth="1"/>
    <col min="8" max="8" width="10.44140625" style="28" bestFit="1" customWidth="1"/>
    <col min="9" max="10" width="6.44140625" style="62" bestFit="1" customWidth="1"/>
    <col min="11" max="11" width="6.44140625" style="125" bestFit="1" customWidth="1"/>
    <col min="12" max="14" width="6.44140625" style="63" bestFit="1" customWidth="1"/>
    <col min="15" max="20" width="5.77734375" style="63" customWidth="1"/>
    <col min="21" max="21" width="6.44140625" style="63" bestFit="1" customWidth="1"/>
    <col min="22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16" t="s">
        <v>6</v>
      </c>
      <c r="G1" s="417"/>
      <c r="I1" s="117"/>
    </row>
    <row r="2" spans="1:20" ht="16.5" thickBot="1" x14ac:dyDescent="0.3">
      <c r="A2" s="166" t="s">
        <v>143</v>
      </c>
      <c r="B2" s="73"/>
      <c r="C2" s="68" t="s">
        <v>8</v>
      </c>
      <c r="D2" s="79"/>
      <c r="E2" s="79"/>
      <c r="F2" s="149"/>
      <c r="G2" s="149"/>
      <c r="I2" s="117"/>
    </row>
    <row r="3" spans="1:20" ht="16.5" thickBot="1" x14ac:dyDescent="0.3">
      <c r="A3" s="166" t="s">
        <v>142</v>
      </c>
      <c r="B3" s="73"/>
      <c r="C3" s="68" t="s">
        <v>8</v>
      </c>
      <c r="D3" s="79"/>
      <c r="E3" s="287" t="s">
        <v>178</v>
      </c>
      <c r="F3" s="149"/>
      <c r="G3" s="149"/>
      <c r="I3" s="117"/>
    </row>
    <row r="4" spans="1:20" ht="16.5" thickBot="1" x14ac:dyDescent="0.3">
      <c r="A4" s="166" t="s">
        <v>137</v>
      </c>
      <c r="B4" s="73"/>
      <c r="C4" s="68" t="s">
        <v>8</v>
      </c>
      <c r="D4" s="79"/>
      <c r="E4" s="79"/>
      <c r="F4" s="149"/>
      <c r="G4" s="149"/>
      <c r="I4" s="117"/>
    </row>
    <row r="5" spans="1:20" ht="16.5" thickBot="1" x14ac:dyDescent="0.3">
      <c r="A5" s="166" t="s">
        <v>176</v>
      </c>
      <c r="B5" s="73"/>
      <c r="C5" s="68" t="s">
        <v>8</v>
      </c>
      <c r="D5" s="166" t="s">
        <v>177</v>
      </c>
      <c r="E5" s="79"/>
      <c r="F5" s="149"/>
      <c r="G5" s="149"/>
      <c r="I5" s="117"/>
    </row>
    <row r="6" spans="1:20" ht="16.5" thickBot="1" x14ac:dyDescent="0.3">
      <c r="A6" s="123" t="str">
        <f>IF(B9+B14+B18+B22&gt;1,"Snyd! - du skal kun skrive i 1 af de 4 felter for anciennitet",".")</f>
        <v>.</v>
      </c>
      <c r="B6" s="184" t="str">
        <f>IF(B2+B3+B4+B5&gt;1,"HOV - sæt kun 1 tal",".")</f>
        <v>.</v>
      </c>
      <c r="C6" s="79"/>
      <c r="D6" s="79"/>
      <c r="E6" s="79"/>
      <c r="F6" s="418" t="str">
        <f>DATABANK!B20</f>
        <v>1.1.2014</v>
      </c>
      <c r="G6" s="418"/>
      <c r="H6" s="405" t="s">
        <v>71</v>
      </c>
      <c r="I6" s="117"/>
    </row>
    <row r="7" spans="1:20" ht="15.75" thickBot="1" x14ac:dyDescent="0.25">
      <c r="A7" s="57" t="s">
        <v>19</v>
      </c>
      <c r="B7" s="126">
        <v>37</v>
      </c>
      <c r="C7" s="68"/>
      <c r="D7" s="69" t="s">
        <v>13</v>
      </c>
      <c r="E7" s="121">
        <f>B7/0.37</f>
        <v>100</v>
      </c>
      <c r="F7" s="83" t="s">
        <v>18</v>
      </c>
      <c r="G7" s="83" t="s">
        <v>17</v>
      </c>
      <c r="H7" s="406"/>
      <c r="I7" s="117"/>
    </row>
    <row r="8" spans="1:20" ht="15.75" thickBot="1" x14ac:dyDescent="0.25">
      <c r="A8" s="57" t="s">
        <v>9</v>
      </c>
      <c r="B8" s="80">
        <v>30</v>
      </c>
      <c r="C8" s="71"/>
      <c r="D8" s="163">
        <f>DATABANK!B30</f>
        <v>312990</v>
      </c>
      <c r="E8" s="72" t="s">
        <v>33</v>
      </c>
      <c r="F8" s="195">
        <f>ROUND($E$7/100*D8,2)</f>
        <v>312990</v>
      </c>
      <c r="G8" s="195">
        <f>ROUND(F8/12,2)</f>
        <v>26082.5</v>
      </c>
      <c r="H8" s="211"/>
      <c r="I8" s="117"/>
      <c r="M8" s="66"/>
      <c r="N8" s="66"/>
    </row>
    <row r="9" spans="1:20" ht="15.75" thickBot="1" x14ac:dyDescent="0.25">
      <c r="A9" s="132" t="s">
        <v>55</v>
      </c>
      <c r="B9" s="73"/>
      <c r="C9" s="84" t="s">
        <v>8</v>
      </c>
      <c r="D9" s="164"/>
      <c r="E9" s="85"/>
      <c r="F9" s="195"/>
      <c r="G9" s="195"/>
      <c r="H9" s="211"/>
      <c r="I9" s="117"/>
      <c r="M9" s="66"/>
      <c r="N9" s="66"/>
      <c r="O9" s="62"/>
      <c r="P9" s="62"/>
      <c r="Q9" s="62"/>
      <c r="R9" s="62"/>
      <c r="S9" s="62"/>
      <c r="T9" s="62"/>
    </row>
    <row r="10" spans="1:20" x14ac:dyDescent="0.2">
      <c r="A10" s="97" t="s">
        <v>54</v>
      </c>
      <c r="B10" s="74"/>
      <c r="C10" s="74"/>
      <c r="D10" s="165">
        <f>DATABANK!C57</f>
        <v>3854.7</v>
      </c>
      <c r="E10" s="86" t="s">
        <v>33</v>
      </c>
      <c r="F10" s="195">
        <f>ROUND(B9*E$7/100*D10,2)</f>
        <v>0</v>
      </c>
      <c r="G10" s="195">
        <f t="shared" ref="G10:G38" si="0">ROUND(F10/12,2)</f>
        <v>0</v>
      </c>
      <c r="H10" s="211"/>
      <c r="I10" s="117"/>
      <c r="M10" s="66"/>
      <c r="N10" s="66"/>
      <c r="O10" s="62"/>
      <c r="P10" s="62"/>
      <c r="Q10" s="62"/>
      <c r="R10" s="62"/>
      <c r="S10" s="62"/>
      <c r="T10" s="62"/>
    </row>
    <row r="11" spans="1:20" x14ac:dyDescent="0.2">
      <c r="A11" s="98" t="s">
        <v>139</v>
      </c>
      <c r="B11" s="67"/>
      <c r="C11" s="67"/>
      <c r="D11" s="190">
        <f>(DATABANK!B33-DATABANK!B30)</f>
        <v>13532</v>
      </c>
      <c r="E11" s="87" t="s">
        <v>33</v>
      </c>
      <c r="F11" s="218">
        <f>ROUND(B9*E$7/100*D11,2)</f>
        <v>0</v>
      </c>
      <c r="G11" s="218">
        <f t="shared" si="0"/>
        <v>0</v>
      </c>
      <c r="H11" s="211"/>
      <c r="I11" s="117"/>
      <c r="M11" s="66"/>
      <c r="N11" s="66"/>
      <c r="O11" s="62"/>
      <c r="P11" s="62"/>
      <c r="Q11" s="62"/>
      <c r="R11" s="62"/>
      <c r="S11" s="62"/>
      <c r="T11" s="62"/>
    </row>
    <row r="12" spans="1:20" x14ac:dyDescent="0.2">
      <c r="A12" s="167" t="s">
        <v>140</v>
      </c>
      <c r="B12" s="67"/>
      <c r="C12" s="67"/>
      <c r="D12" s="190">
        <f>(DATABANK!B34-DATABANK!B33)</f>
        <v>4661</v>
      </c>
      <c r="E12" s="87" t="s">
        <v>33</v>
      </c>
      <c r="F12" s="218">
        <f>ROUND(B9*E$7/100*D12,2)</f>
        <v>0</v>
      </c>
      <c r="G12" s="218">
        <f t="shared" si="0"/>
        <v>0</v>
      </c>
      <c r="H12" s="211"/>
      <c r="I12" s="117"/>
      <c r="M12" s="66"/>
      <c r="N12" s="66"/>
      <c r="O12" s="62"/>
      <c r="P12" s="62"/>
      <c r="Q12" s="62"/>
      <c r="R12" s="62"/>
      <c r="S12" s="62"/>
      <c r="T12" s="62"/>
    </row>
    <row r="13" spans="1:20" ht="16.5" thickBot="1" x14ac:dyDescent="0.3">
      <c r="A13" s="99" t="s">
        <v>138</v>
      </c>
      <c r="B13" s="88"/>
      <c r="C13" s="88"/>
      <c r="D13" s="199">
        <f>(DATABANK!B36-DATABANK!B34)</f>
        <v>9534</v>
      </c>
      <c r="E13" s="89" t="s">
        <v>33</v>
      </c>
      <c r="F13" s="218">
        <f>ROUND(B9*E$7/100*D13,2)</f>
        <v>0</v>
      </c>
      <c r="G13" s="218">
        <f t="shared" si="0"/>
        <v>0</v>
      </c>
      <c r="H13" s="211"/>
      <c r="I13" s="117"/>
      <c r="M13" s="66"/>
      <c r="N13" s="66"/>
    </row>
    <row r="14" spans="1:20" ht="15.75" thickBot="1" x14ac:dyDescent="0.25">
      <c r="A14" s="132" t="s">
        <v>56</v>
      </c>
      <c r="B14" s="73"/>
      <c r="C14" s="84" t="s">
        <v>8</v>
      </c>
      <c r="D14" s="164">
        <f>(DATABANK!B34-DATABANK!B30)</f>
        <v>18193</v>
      </c>
      <c r="E14" s="85" t="s">
        <v>33</v>
      </c>
      <c r="F14" s="197">
        <f>ROUND(B14*E$7/100*D14,2)</f>
        <v>0</v>
      </c>
      <c r="G14" s="197">
        <f t="shared" si="0"/>
        <v>0</v>
      </c>
      <c r="H14" s="212"/>
      <c r="I14" s="117"/>
      <c r="M14" s="66"/>
      <c r="N14" s="66"/>
      <c r="O14" s="62"/>
      <c r="P14" s="62"/>
      <c r="Q14" s="62"/>
      <c r="R14" s="62"/>
      <c r="S14" s="62"/>
      <c r="T14" s="62"/>
    </row>
    <row r="15" spans="1:20" x14ac:dyDescent="0.2">
      <c r="A15" s="97" t="s">
        <v>186</v>
      </c>
      <c r="B15" s="74"/>
      <c r="C15" s="74"/>
      <c r="D15" s="165">
        <f>DATABANK!C57</f>
        <v>3854.7</v>
      </c>
      <c r="E15" s="86" t="s">
        <v>33</v>
      </c>
      <c r="F15" s="195">
        <f>ROUND(B14*E$7/100*D15,2)</f>
        <v>0</v>
      </c>
      <c r="G15" s="195">
        <f t="shared" si="0"/>
        <v>0</v>
      </c>
      <c r="H15" s="211"/>
      <c r="I15" s="117"/>
      <c r="M15" s="66"/>
      <c r="N15" s="66"/>
      <c r="O15" s="62"/>
      <c r="P15" s="62"/>
      <c r="Q15" s="62"/>
      <c r="R15" s="62"/>
      <c r="S15" s="62"/>
      <c r="T15" s="62"/>
    </row>
    <row r="16" spans="1:20" x14ac:dyDescent="0.2">
      <c r="A16" s="98" t="s">
        <v>180</v>
      </c>
      <c r="B16" s="67"/>
      <c r="C16" s="67"/>
      <c r="D16" s="190">
        <f>(DATABANK!B37-DATABANK!B34)</f>
        <v>14412</v>
      </c>
      <c r="E16" s="87" t="s">
        <v>33</v>
      </c>
      <c r="F16" s="218">
        <f>ROUND(B14*E$7/100*D16,2)</f>
        <v>0</v>
      </c>
      <c r="G16" s="218">
        <f t="shared" si="0"/>
        <v>0</v>
      </c>
      <c r="H16" s="211"/>
      <c r="I16" s="117"/>
      <c r="M16" s="66"/>
      <c r="N16" s="66"/>
      <c r="O16" s="62"/>
      <c r="P16" s="62"/>
      <c r="Q16" s="62"/>
      <c r="R16" s="62"/>
      <c r="S16" s="62"/>
      <c r="T16" s="62"/>
    </row>
    <row r="17" spans="1:22" ht="15.75" thickBot="1" x14ac:dyDescent="0.25">
      <c r="A17" s="99" t="s">
        <v>181</v>
      </c>
      <c r="B17" s="90"/>
      <c r="C17" s="90"/>
      <c r="D17" s="199">
        <f>(DATABANK!B38-DATABANK!B37)</f>
        <v>5274</v>
      </c>
      <c r="E17" s="89" t="s">
        <v>33</v>
      </c>
      <c r="F17" s="218">
        <f>ROUND(B14*E$7/100*D17,2)</f>
        <v>0</v>
      </c>
      <c r="G17" s="218">
        <f t="shared" si="0"/>
        <v>0</v>
      </c>
      <c r="H17" s="211"/>
      <c r="I17" s="117"/>
      <c r="M17" s="66"/>
      <c r="N17" s="66"/>
      <c r="O17" s="62"/>
      <c r="P17" s="62"/>
      <c r="Q17" s="62"/>
      <c r="R17" s="62"/>
      <c r="S17" s="62"/>
      <c r="T17" s="62"/>
    </row>
    <row r="18" spans="1:22" ht="15.75" thickBot="1" x14ac:dyDescent="0.25">
      <c r="A18" s="132" t="s">
        <v>57</v>
      </c>
      <c r="B18" s="73"/>
      <c r="C18" s="84" t="s">
        <v>8</v>
      </c>
      <c r="D18" s="164">
        <f>(DATABANK!B$39-DATABANK!B$30)</f>
        <v>43012</v>
      </c>
      <c r="E18" s="85" t="s">
        <v>33</v>
      </c>
      <c r="F18" s="197">
        <f>ROUND(B18*E$7/100*D18,2)</f>
        <v>0</v>
      </c>
      <c r="G18" s="197">
        <f t="shared" si="0"/>
        <v>0</v>
      </c>
      <c r="H18" s="212"/>
      <c r="I18" s="117"/>
      <c r="M18" s="66"/>
      <c r="N18" s="66"/>
      <c r="O18" s="62"/>
      <c r="P18" s="62"/>
      <c r="Q18" s="62"/>
      <c r="R18" s="62"/>
      <c r="S18" s="62"/>
      <c r="T18" s="62"/>
    </row>
    <row r="19" spans="1:22" x14ac:dyDescent="0.2">
      <c r="A19" s="97" t="s">
        <v>54</v>
      </c>
      <c r="B19" s="74"/>
      <c r="C19" s="74"/>
      <c r="D19" s="165">
        <v>0</v>
      </c>
      <c r="E19" s="86" t="s">
        <v>33</v>
      </c>
      <c r="F19" s="195">
        <f>ROUND(B18*E$7/100*D19,2)</f>
        <v>0</v>
      </c>
      <c r="G19" s="195">
        <f t="shared" si="0"/>
        <v>0</v>
      </c>
      <c r="H19" s="211"/>
      <c r="I19" s="117"/>
      <c r="M19" s="66"/>
      <c r="N19" s="66"/>
      <c r="O19" s="62"/>
      <c r="P19" s="62"/>
      <c r="Q19" s="62"/>
      <c r="R19" s="62"/>
      <c r="S19" s="62"/>
      <c r="T19" s="62"/>
    </row>
    <row r="20" spans="1:22" x14ac:dyDescent="0.2">
      <c r="A20" s="98" t="s">
        <v>139</v>
      </c>
      <c r="B20" s="67"/>
      <c r="C20" s="67"/>
      <c r="D20" s="190">
        <f>(DATABANK!B42-DATABANK!B39)</f>
        <v>15871</v>
      </c>
      <c r="E20" s="87" t="s">
        <v>33</v>
      </c>
      <c r="F20" s="218">
        <f>ROUND(B18*E$7/100*D20,2)</f>
        <v>0</v>
      </c>
      <c r="G20" s="218">
        <f t="shared" si="0"/>
        <v>0</v>
      </c>
      <c r="H20" s="211"/>
      <c r="I20" s="117"/>
      <c r="M20" s="66"/>
      <c r="N20" s="66"/>
      <c r="O20" s="62"/>
      <c r="P20" s="62"/>
      <c r="Q20" s="62"/>
      <c r="R20" s="62"/>
      <c r="S20" s="62"/>
      <c r="T20" s="62"/>
    </row>
    <row r="21" spans="1:22" ht="15.75" thickBot="1" x14ac:dyDescent="0.25">
      <c r="A21" s="98" t="s">
        <v>140</v>
      </c>
      <c r="B21" s="90"/>
      <c r="C21" s="90"/>
      <c r="D21" s="199">
        <f>(DATABANK!B43-DATABANK!B42)</f>
        <v>8265</v>
      </c>
      <c r="E21" s="89" t="s">
        <v>33</v>
      </c>
      <c r="F21" s="218">
        <f>ROUND(B18*E$7/100*D21,2)</f>
        <v>0</v>
      </c>
      <c r="G21" s="218">
        <f t="shared" si="0"/>
        <v>0</v>
      </c>
      <c r="H21" s="211"/>
      <c r="I21" s="117"/>
      <c r="M21" s="66"/>
      <c r="N21" s="66"/>
    </row>
    <row r="22" spans="1:22" ht="15.75" thickBot="1" x14ac:dyDescent="0.25">
      <c r="A22" s="132" t="s">
        <v>60</v>
      </c>
      <c r="B22" s="73"/>
      <c r="C22" s="84" t="s">
        <v>8</v>
      </c>
      <c r="D22" s="164">
        <f>D18</f>
        <v>43012</v>
      </c>
      <c r="E22" s="85" t="s">
        <v>33</v>
      </c>
      <c r="F22" s="197">
        <f>ROUND(B22*E$7/100*D22,2)</f>
        <v>0</v>
      </c>
      <c r="G22" s="197">
        <f t="shared" si="0"/>
        <v>0</v>
      </c>
      <c r="H22" s="212"/>
      <c r="I22" s="117"/>
      <c r="M22" s="66"/>
      <c r="N22" s="66"/>
      <c r="O22" s="62"/>
      <c r="P22" s="62"/>
      <c r="Q22" s="62"/>
      <c r="R22" s="62"/>
      <c r="S22" s="62"/>
      <c r="T22" s="62"/>
    </row>
    <row r="23" spans="1:22" x14ac:dyDescent="0.2">
      <c r="A23" s="97" t="s">
        <v>186</v>
      </c>
      <c r="B23" s="74" t="s">
        <v>185</v>
      </c>
      <c r="C23" s="74"/>
      <c r="D23" s="165">
        <f>DATABANK!C60</f>
        <v>12849</v>
      </c>
      <c r="E23" s="86" t="s">
        <v>33</v>
      </c>
      <c r="F23" s="195">
        <f>ROUND(B22*E$7/100*D23,2)</f>
        <v>0</v>
      </c>
      <c r="G23" s="195">
        <f t="shared" si="0"/>
        <v>0</v>
      </c>
      <c r="H23" s="211"/>
      <c r="I23" s="117"/>
      <c r="M23" s="66"/>
      <c r="N23" s="66"/>
    </row>
    <row r="24" spans="1:22" x14ac:dyDescent="0.2">
      <c r="A24" s="98" t="s">
        <v>139</v>
      </c>
      <c r="B24" s="67"/>
      <c r="C24" s="67"/>
      <c r="D24" s="190">
        <f>D20</f>
        <v>15871</v>
      </c>
      <c r="E24" s="87" t="s">
        <v>33</v>
      </c>
      <c r="F24" s="218">
        <f>ROUND(B22*E$7/100*D24,2)</f>
        <v>0</v>
      </c>
      <c r="G24" s="218">
        <f t="shared" si="0"/>
        <v>0</v>
      </c>
      <c r="H24" s="211"/>
      <c r="I24" s="117"/>
      <c r="M24" s="66"/>
      <c r="N24" s="66"/>
    </row>
    <row r="25" spans="1:22" ht="15.75" thickBot="1" x14ac:dyDescent="0.25">
      <c r="A25" s="99" t="s">
        <v>140</v>
      </c>
      <c r="B25" s="90"/>
      <c r="C25" s="90"/>
      <c r="D25" s="199">
        <f>D21</f>
        <v>8265</v>
      </c>
      <c r="E25" s="89" t="s">
        <v>33</v>
      </c>
      <c r="F25" s="218">
        <f>ROUND(B22*E$7/100*D25,2)</f>
        <v>0</v>
      </c>
      <c r="G25" s="218">
        <f t="shared" si="0"/>
        <v>0</v>
      </c>
      <c r="H25" s="211"/>
      <c r="I25" s="117"/>
      <c r="M25" s="66"/>
      <c r="N25" s="66"/>
    </row>
    <row r="26" spans="1:22" x14ac:dyDescent="0.2">
      <c r="A26" s="68" t="s">
        <v>152</v>
      </c>
      <c r="B26" s="162"/>
      <c r="C26" s="162"/>
      <c r="D26" s="163">
        <f>DATABANK!C94</f>
        <v>36362.67</v>
      </c>
      <c r="E26" s="72" t="s">
        <v>33</v>
      </c>
      <c r="F26" s="197">
        <f>B4*B$7/37*D26</f>
        <v>0</v>
      </c>
      <c r="G26" s="197">
        <f t="shared" si="0"/>
        <v>0</v>
      </c>
      <c r="H26" s="212"/>
      <c r="I26" s="117"/>
      <c r="M26" s="66"/>
      <c r="N26" s="66"/>
    </row>
    <row r="27" spans="1:22" x14ac:dyDescent="0.2">
      <c r="A27" s="68" t="s">
        <v>84</v>
      </c>
      <c r="B27" s="162"/>
      <c r="C27" s="162"/>
      <c r="D27" s="163">
        <f>DATABANK!C97</f>
        <v>23899.14</v>
      </c>
      <c r="E27" s="72" t="s">
        <v>33</v>
      </c>
      <c r="F27" s="197">
        <f>(B2+B3)*B$7/37*D27</f>
        <v>0</v>
      </c>
      <c r="G27" s="197">
        <f t="shared" si="0"/>
        <v>0</v>
      </c>
      <c r="H27" s="212"/>
      <c r="I27" s="117"/>
      <c r="M27" s="66"/>
      <c r="N27" s="66"/>
    </row>
    <row r="28" spans="1:22" x14ac:dyDescent="0.2">
      <c r="A28" s="186" t="s">
        <v>150</v>
      </c>
      <c r="B28" s="162"/>
      <c r="C28" s="162"/>
      <c r="D28" s="165">
        <f>DATABANK!C102</f>
        <v>3597.72</v>
      </c>
      <c r="E28" s="86" t="s">
        <v>33</v>
      </c>
      <c r="F28" s="197">
        <f>B7/37*D28</f>
        <v>3597.72</v>
      </c>
      <c r="G28" s="197">
        <f t="shared" ref="G28" si="1">ROUND(F28/12,2)</f>
        <v>299.81</v>
      </c>
      <c r="H28" s="211"/>
      <c r="I28" s="101"/>
      <c r="J28" s="66"/>
      <c r="K28" s="66"/>
      <c r="L28" s="66"/>
      <c r="M28" s="66"/>
      <c r="N28" s="66"/>
      <c r="O28" s="66"/>
      <c r="V28" s="63"/>
    </row>
    <row r="29" spans="1:22" x14ac:dyDescent="0.2">
      <c r="A29" s="167" t="s">
        <v>122</v>
      </c>
      <c r="B29" s="162"/>
      <c r="C29" s="162"/>
      <c r="D29" s="168">
        <f>DATABANK!C$75</f>
        <v>2055.84</v>
      </c>
      <c r="E29" s="174" t="s">
        <v>59</v>
      </c>
      <c r="F29" s="218">
        <f>D29</f>
        <v>2055.84</v>
      </c>
      <c r="G29" s="218">
        <f t="shared" si="0"/>
        <v>171.32</v>
      </c>
      <c r="H29" s="211"/>
      <c r="I29" s="117"/>
      <c r="M29" s="66"/>
      <c r="N29" s="66"/>
      <c r="O29" s="66"/>
      <c r="V29" s="63"/>
    </row>
    <row r="30" spans="1:22" x14ac:dyDescent="0.2">
      <c r="A30" s="167" t="s">
        <v>141</v>
      </c>
      <c r="B30" s="162"/>
      <c r="C30" s="162"/>
      <c r="D30" s="168">
        <f>DATABANK!C76</f>
        <v>385.47</v>
      </c>
      <c r="E30" s="174" t="s">
        <v>59</v>
      </c>
      <c r="F30" s="218">
        <f>D30*B2</f>
        <v>0</v>
      </c>
      <c r="G30" s="218">
        <f t="shared" ref="G30" si="2">ROUND(F30/12,2)</f>
        <v>0</v>
      </c>
      <c r="H30" s="211"/>
      <c r="I30" s="117"/>
      <c r="M30" s="66"/>
      <c r="N30" s="66"/>
      <c r="O30" s="66"/>
      <c r="V30" s="63"/>
    </row>
    <row r="31" spans="1:22" ht="15.75" thickBot="1" x14ac:dyDescent="0.25">
      <c r="A31" s="175" t="s">
        <v>95</v>
      </c>
      <c r="B31" s="176"/>
      <c r="C31" s="177"/>
      <c r="D31" s="178">
        <f>IF(B5=1,DATABANK!C88,DATABANK!C90)</f>
        <v>3148.01</v>
      </c>
      <c r="E31" s="174" t="s">
        <v>34</v>
      </c>
      <c r="F31" s="219">
        <f>D31</f>
        <v>3148.01</v>
      </c>
      <c r="G31" s="219">
        <f t="shared" si="0"/>
        <v>262.33</v>
      </c>
      <c r="H31" s="212"/>
      <c r="I31" s="117"/>
      <c r="M31" s="66"/>
      <c r="N31" s="66"/>
      <c r="O31" s="66"/>
      <c r="V31" s="63"/>
    </row>
    <row r="32" spans="1:22" ht="15.75" thickBot="1" x14ac:dyDescent="0.25">
      <c r="A32" s="175" t="s">
        <v>124</v>
      </c>
      <c r="B32" s="179"/>
      <c r="C32" s="169" t="s">
        <v>8</v>
      </c>
      <c r="D32" s="178">
        <f>DATABANK!C$92</f>
        <v>9251.2800000000007</v>
      </c>
      <c r="E32" s="174" t="s">
        <v>34</v>
      </c>
      <c r="F32" s="219">
        <f>D32*B32</f>
        <v>0</v>
      </c>
      <c r="G32" s="219">
        <f t="shared" si="0"/>
        <v>0</v>
      </c>
      <c r="H32" s="212"/>
      <c r="I32" s="117"/>
      <c r="M32" s="66"/>
      <c r="N32" s="66"/>
      <c r="O32" s="66"/>
      <c r="V32" s="63"/>
    </row>
    <row r="33" spans="1:22" ht="15.75" thickBot="1" x14ac:dyDescent="0.25">
      <c r="A33" s="175" t="s">
        <v>125</v>
      </c>
      <c r="B33" s="180"/>
      <c r="C33" s="169" t="s">
        <v>8</v>
      </c>
      <c r="D33" s="178">
        <f>DATABANK!C$78</f>
        <v>30837.599999999999</v>
      </c>
      <c r="E33" s="174" t="s">
        <v>34</v>
      </c>
      <c r="F33" s="219">
        <f>D33*B33</f>
        <v>0</v>
      </c>
      <c r="G33" s="219">
        <f t="shared" si="0"/>
        <v>0</v>
      </c>
      <c r="H33" s="212"/>
      <c r="I33" s="117"/>
      <c r="M33" s="66"/>
      <c r="N33" s="66"/>
      <c r="O33" s="66"/>
      <c r="V33" s="63"/>
    </row>
    <row r="34" spans="1:22" ht="15.75" thickBot="1" x14ac:dyDescent="0.25">
      <c r="A34" s="175" t="s">
        <v>126</v>
      </c>
      <c r="B34" s="180"/>
      <c r="C34" s="169" t="s">
        <v>8</v>
      </c>
      <c r="D34" s="178">
        <f>DATABANK!C$79</f>
        <v>21843.3</v>
      </c>
      <c r="E34" s="174" t="s">
        <v>34</v>
      </c>
      <c r="F34" s="219">
        <f>D34*B34</f>
        <v>0</v>
      </c>
      <c r="G34" s="219">
        <f t="shared" si="0"/>
        <v>0</v>
      </c>
      <c r="H34" s="212"/>
      <c r="I34" s="117"/>
      <c r="M34" s="66"/>
      <c r="N34" s="66"/>
      <c r="O34" s="66"/>
      <c r="V34" s="63"/>
    </row>
    <row r="35" spans="1:22" ht="15.75" thickBot="1" x14ac:dyDescent="0.25">
      <c r="A35" s="175" t="s">
        <v>83</v>
      </c>
      <c r="B35" s="181"/>
      <c r="C35" s="169" t="s">
        <v>8</v>
      </c>
      <c r="D35" s="178">
        <f>DATABANK!C$80</f>
        <v>12849</v>
      </c>
      <c r="E35" s="174" t="s">
        <v>34</v>
      </c>
      <c r="F35" s="219">
        <f t="shared" ref="F35:F40" si="3">B35*D35</f>
        <v>0</v>
      </c>
      <c r="G35" s="219">
        <f t="shared" si="0"/>
        <v>0</v>
      </c>
      <c r="H35" s="212"/>
      <c r="I35" s="117"/>
      <c r="M35" s="66"/>
      <c r="N35" s="66"/>
      <c r="O35" s="66"/>
      <c r="V35" s="63"/>
    </row>
    <row r="36" spans="1:22" ht="15.75" thickBot="1" x14ac:dyDescent="0.25">
      <c r="A36" s="175" t="s">
        <v>127</v>
      </c>
      <c r="B36" s="181"/>
      <c r="C36" s="177"/>
      <c r="D36" s="178">
        <f>DATABANK!C$81</f>
        <v>128.49</v>
      </c>
      <c r="E36" s="182" t="s">
        <v>131</v>
      </c>
      <c r="F36" s="219">
        <f t="shared" si="3"/>
        <v>0</v>
      </c>
      <c r="G36" s="219">
        <f t="shared" si="0"/>
        <v>0</v>
      </c>
      <c r="H36" s="212"/>
      <c r="I36" s="117"/>
      <c r="M36" s="66"/>
      <c r="N36" s="66"/>
      <c r="O36" s="66"/>
      <c r="V36" s="63"/>
    </row>
    <row r="37" spans="1:22" ht="15.75" thickBot="1" x14ac:dyDescent="0.25">
      <c r="A37" s="175" t="s">
        <v>129</v>
      </c>
      <c r="B37" s="179"/>
      <c r="C37" s="169" t="s">
        <v>8</v>
      </c>
      <c r="D37" s="178">
        <f>DATABANK!C$83</f>
        <v>3854.7</v>
      </c>
      <c r="E37" s="174" t="s">
        <v>34</v>
      </c>
      <c r="F37" s="219">
        <f t="shared" si="3"/>
        <v>0</v>
      </c>
      <c r="G37" s="219">
        <f t="shared" si="0"/>
        <v>0</v>
      </c>
      <c r="H37" s="212"/>
      <c r="I37" s="117"/>
      <c r="M37" s="66"/>
      <c r="N37" s="66"/>
      <c r="O37" s="66"/>
      <c r="V37" s="63"/>
    </row>
    <row r="38" spans="1:22" ht="15.75" thickBot="1" x14ac:dyDescent="0.25">
      <c r="A38" s="175" t="s">
        <v>128</v>
      </c>
      <c r="B38" s="180"/>
      <c r="C38" s="169" t="s">
        <v>8</v>
      </c>
      <c r="D38" s="178">
        <f>DATABANK!C$84</f>
        <v>1284.9000000000001</v>
      </c>
      <c r="E38" s="174" t="s">
        <v>34</v>
      </c>
      <c r="F38" s="219">
        <f t="shared" si="3"/>
        <v>0</v>
      </c>
      <c r="G38" s="219">
        <f t="shared" si="0"/>
        <v>0</v>
      </c>
      <c r="H38" s="212"/>
      <c r="I38" s="117"/>
      <c r="M38" s="66"/>
      <c r="N38" s="66"/>
      <c r="O38" s="66"/>
      <c r="V38" s="63"/>
    </row>
    <row r="39" spans="1:22" ht="15.75" thickBot="1" x14ac:dyDescent="0.25">
      <c r="A39" s="175" t="s">
        <v>112</v>
      </c>
      <c r="B39" s="181"/>
      <c r="C39" s="177" t="s">
        <v>8</v>
      </c>
      <c r="D39" s="178">
        <f>DATABANK!C85</f>
        <v>3854.7</v>
      </c>
      <c r="E39" s="174" t="s">
        <v>34</v>
      </c>
      <c r="F39" s="219">
        <f t="shared" si="3"/>
        <v>0</v>
      </c>
      <c r="G39" s="219">
        <f>ROUND(F39/12,2)</f>
        <v>0</v>
      </c>
      <c r="H39" s="212"/>
      <c r="I39" s="117"/>
      <c r="M39" s="66"/>
      <c r="N39" s="66"/>
      <c r="O39" s="66"/>
      <c r="V39" s="63"/>
    </row>
    <row r="40" spans="1:22" ht="15.75" thickBot="1" x14ac:dyDescent="0.25">
      <c r="A40" s="175" t="s">
        <v>132</v>
      </c>
      <c r="B40" s="181"/>
      <c r="C40" s="177" t="s">
        <v>8</v>
      </c>
      <c r="D40" s="178">
        <f>DATABANK!C$86</f>
        <v>1927.35</v>
      </c>
      <c r="E40" s="174" t="s">
        <v>34</v>
      </c>
      <c r="F40" s="219">
        <f t="shared" si="3"/>
        <v>0</v>
      </c>
      <c r="G40" s="219">
        <f>ROUND(F40/12,2)</f>
        <v>0</v>
      </c>
      <c r="H40" s="212"/>
      <c r="I40" s="117"/>
      <c r="M40" s="66"/>
      <c r="N40" s="66"/>
      <c r="O40" s="66"/>
      <c r="V40" s="63"/>
    </row>
    <row r="41" spans="1:22" ht="15.75" thickBot="1" x14ac:dyDescent="0.25">
      <c r="A41" s="183" t="s">
        <v>133</v>
      </c>
      <c r="B41" s="181"/>
      <c r="C41" s="177"/>
      <c r="D41" s="178"/>
      <c r="E41" s="174"/>
      <c r="F41" s="220"/>
      <c r="G41" s="220"/>
      <c r="H41" s="212"/>
      <c r="I41" s="117"/>
      <c r="V41" s="63"/>
    </row>
    <row r="42" spans="1:22" x14ac:dyDescent="0.2">
      <c r="A42" s="175" t="s">
        <v>123</v>
      </c>
      <c r="B42" s="247">
        <f>IF(B41&lt;B$7/37*700.5,1,0)</f>
        <v>1</v>
      </c>
      <c r="C42" s="169"/>
      <c r="D42" s="168">
        <f>B$7/37*DATABANK!C64</f>
        <v>15418.8</v>
      </c>
      <c r="E42" s="174" t="s">
        <v>34</v>
      </c>
      <c r="F42" s="219">
        <f t="shared" ref="F42:F45" si="4">D42*B42</f>
        <v>15418.8</v>
      </c>
      <c r="G42" s="219">
        <f t="shared" ref="G42:G51" si="5">ROUND(F42/12,2)</f>
        <v>1284.9000000000001</v>
      </c>
      <c r="H42" s="212"/>
      <c r="I42" s="117"/>
      <c r="V42" s="63"/>
    </row>
    <row r="43" spans="1:22" x14ac:dyDescent="0.2">
      <c r="A43" s="175" t="s">
        <v>134</v>
      </c>
      <c r="B43" s="247">
        <f>IF(B41&gt;B$7/37*700.5,1-B44-B45,0)</f>
        <v>0</v>
      </c>
      <c r="C43" s="169"/>
      <c r="D43" s="168">
        <f>B$7/37*DATABANK!C65</f>
        <v>17346.150000000001</v>
      </c>
      <c r="E43" s="174" t="s">
        <v>34</v>
      </c>
      <c r="F43" s="219">
        <f t="shared" si="4"/>
        <v>0</v>
      </c>
      <c r="G43" s="219">
        <f t="shared" si="5"/>
        <v>0</v>
      </c>
      <c r="H43" s="213"/>
      <c r="I43" s="117"/>
      <c r="V43" s="63"/>
    </row>
    <row r="44" spans="1:22" x14ac:dyDescent="0.2">
      <c r="A44" s="175" t="s">
        <v>135</v>
      </c>
      <c r="B44" s="247">
        <f>IF(B41&gt;B$7/37*735.5,1-B45,0)</f>
        <v>0</v>
      </c>
      <c r="C44" s="169"/>
      <c r="D44" s="168">
        <f>B$7/37*DATABANK!C66</f>
        <v>23128.2</v>
      </c>
      <c r="E44" s="174" t="s">
        <v>34</v>
      </c>
      <c r="F44" s="219">
        <f t="shared" si="4"/>
        <v>0</v>
      </c>
      <c r="G44" s="219">
        <f t="shared" si="5"/>
        <v>0</v>
      </c>
      <c r="H44" s="212"/>
      <c r="I44" s="117"/>
      <c r="V44" s="63"/>
    </row>
    <row r="45" spans="1:22" ht="15.75" thickBot="1" x14ac:dyDescent="0.25">
      <c r="A45" s="175" t="s">
        <v>136</v>
      </c>
      <c r="B45" s="247">
        <f>IF(B41&gt;B$7/37*770.4999,1,0)</f>
        <v>0</v>
      </c>
      <c r="C45" s="169"/>
      <c r="D45" s="168">
        <f>B$7/37*DATABANK!C67</f>
        <v>26340.45</v>
      </c>
      <c r="E45" s="174" t="s">
        <v>34</v>
      </c>
      <c r="F45" s="219">
        <f t="shared" si="4"/>
        <v>0</v>
      </c>
      <c r="G45" s="219">
        <f t="shared" si="5"/>
        <v>0</v>
      </c>
      <c r="H45" s="212"/>
      <c r="I45" s="117"/>
      <c r="V45" s="63"/>
    </row>
    <row r="46" spans="1:22" ht="15.75" thickBot="1" x14ac:dyDescent="0.25">
      <c r="A46" s="68" t="s">
        <v>144</v>
      </c>
      <c r="B46" s="306" t="str">
        <f>IF(B2+B3=1,B41,"0")</f>
        <v>0</v>
      </c>
      <c r="C46" s="71" t="s">
        <v>7</v>
      </c>
      <c r="D46" s="163">
        <f>DATABANK!C99</f>
        <v>24.31</v>
      </c>
      <c r="E46" s="70" t="s">
        <v>14</v>
      </c>
      <c r="F46" s="197">
        <f>ROUND(B46*D46,2)</f>
        <v>0</v>
      </c>
      <c r="G46" s="197">
        <f>ROUND(F46/12,2)</f>
        <v>0</v>
      </c>
      <c r="H46" s="212"/>
      <c r="I46" s="117"/>
    </row>
    <row r="47" spans="1:22" ht="15.75" thickBot="1" x14ac:dyDescent="0.25">
      <c r="A47" s="68" t="s">
        <v>48</v>
      </c>
      <c r="B47" s="81"/>
      <c r="C47" s="71" t="s">
        <v>7</v>
      </c>
      <c r="D47" s="163">
        <f>DATABANK!$C$98</f>
        <v>41.67</v>
      </c>
      <c r="E47" s="70" t="s">
        <v>14</v>
      </c>
      <c r="F47" s="198">
        <f>ROUND(B$5*B47*D47,2)</f>
        <v>0</v>
      </c>
      <c r="G47" s="198">
        <f t="shared" si="5"/>
        <v>0</v>
      </c>
      <c r="H47" s="212"/>
      <c r="I47" s="117"/>
      <c r="V47" s="63"/>
    </row>
    <row r="48" spans="1:22" ht="15.75" thickBot="1" x14ac:dyDescent="0.25">
      <c r="A48" s="68" t="s">
        <v>51</v>
      </c>
      <c r="B48" s="81"/>
      <c r="C48" s="71" t="s">
        <v>7</v>
      </c>
      <c r="D48" s="163">
        <f>DATABANK!$C$100</f>
        <v>19.27</v>
      </c>
      <c r="E48" s="70" t="s">
        <v>14</v>
      </c>
      <c r="F48" s="198">
        <f t="shared" ref="F48:F49" si="6">ROUND(B$5*B48*D48,2)</f>
        <v>0</v>
      </c>
      <c r="G48" s="198">
        <f t="shared" si="5"/>
        <v>0</v>
      </c>
      <c r="H48" s="212"/>
      <c r="I48" s="117"/>
      <c r="V48" s="63"/>
    </row>
    <row r="49" spans="1:22" ht="15.75" thickBot="1" x14ac:dyDescent="0.25">
      <c r="A49" s="68" t="s">
        <v>53</v>
      </c>
      <c r="B49" s="81"/>
      <c r="C49" s="71" t="s">
        <v>7</v>
      </c>
      <c r="D49" s="163">
        <f>DATABANK!$C$101</f>
        <v>33.200000000000003</v>
      </c>
      <c r="E49" s="70" t="s">
        <v>14</v>
      </c>
      <c r="F49" s="198">
        <f t="shared" si="6"/>
        <v>0</v>
      </c>
      <c r="G49" s="198">
        <f t="shared" si="5"/>
        <v>0</v>
      </c>
      <c r="H49" s="212"/>
      <c r="I49" s="117"/>
      <c r="V49" s="63"/>
    </row>
    <row r="50" spans="1:22" ht="15.75" thickBot="1" x14ac:dyDescent="0.25">
      <c r="A50" s="57" t="s">
        <v>61</v>
      </c>
      <c r="B50" s="82"/>
      <c r="C50" s="74" t="s">
        <v>8</v>
      </c>
      <c r="D50" s="163">
        <f>DATABANK!$C$107</f>
        <v>12849</v>
      </c>
      <c r="E50" s="70" t="s">
        <v>59</v>
      </c>
      <c r="F50" s="198">
        <f t="shared" ref="F50" si="7">ROUND(B50*D50,2)</f>
        <v>0</v>
      </c>
      <c r="G50" s="198">
        <f t="shared" si="5"/>
        <v>0</v>
      </c>
      <c r="H50" s="212"/>
      <c r="I50" s="117"/>
      <c r="V50" s="63"/>
    </row>
    <row r="51" spans="1:22" ht="16.5" thickBot="1" x14ac:dyDescent="0.3">
      <c r="A51" s="91" t="s">
        <v>4</v>
      </c>
      <c r="B51" s="92"/>
      <c r="C51" s="93"/>
      <c r="D51" s="94"/>
      <c r="E51" s="95"/>
      <c r="F51" s="158">
        <f>SUM(F8:F50)</f>
        <v>337210.37</v>
      </c>
      <c r="G51" s="158">
        <f t="shared" si="5"/>
        <v>28100.86</v>
      </c>
      <c r="H51" s="214">
        <f>SUM(H8:H50)</f>
        <v>0</v>
      </c>
      <c r="I51" s="117"/>
      <c r="V51" s="63"/>
    </row>
    <row r="52" spans="1:22" ht="16.5" thickBot="1" x14ac:dyDescent="0.3">
      <c r="A52" s="91" t="s">
        <v>72</v>
      </c>
      <c r="B52" s="104"/>
      <c r="C52" s="105"/>
      <c r="D52" s="106"/>
      <c r="E52" s="107"/>
      <c r="F52" s="159"/>
      <c r="G52" s="160">
        <f>H51-G51</f>
        <v>-28100.86</v>
      </c>
      <c r="H52" s="119"/>
      <c r="I52" s="117"/>
      <c r="V52" s="63"/>
    </row>
    <row r="53" spans="1:22" x14ac:dyDescent="0.2">
      <c r="A53" s="109" t="s">
        <v>73</v>
      </c>
      <c r="B53" s="52"/>
      <c r="C53" s="45"/>
      <c r="D53" s="46"/>
      <c r="E53" s="47"/>
      <c r="F53" s="161"/>
      <c r="G53" s="161"/>
      <c r="H53" s="15"/>
      <c r="I53" s="117"/>
      <c r="V53" s="63"/>
    </row>
    <row r="54" spans="1:22" x14ac:dyDescent="0.2">
      <c r="A54" s="407"/>
      <c r="B54" s="408"/>
      <c r="C54" s="408"/>
      <c r="D54" s="408"/>
      <c r="E54" s="408"/>
      <c r="F54" s="408"/>
      <c r="G54" s="408"/>
      <c r="H54" s="409"/>
      <c r="I54" s="28"/>
      <c r="K54" s="62"/>
      <c r="L54" s="65"/>
      <c r="V54" s="63"/>
    </row>
    <row r="55" spans="1:22" x14ac:dyDescent="0.2">
      <c r="A55" s="410"/>
      <c r="B55" s="411"/>
      <c r="C55" s="411"/>
      <c r="D55" s="411"/>
      <c r="E55" s="411"/>
      <c r="F55" s="411"/>
      <c r="G55" s="411"/>
      <c r="H55" s="412"/>
      <c r="I55" s="28"/>
      <c r="K55" s="62"/>
      <c r="L55" s="65"/>
      <c r="V55" s="63"/>
    </row>
    <row r="56" spans="1:22" x14ac:dyDescent="0.2">
      <c r="A56" s="410"/>
      <c r="B56" s="411"/>
      <c r="C56" s="411"/>
      <c r="D56" s="411"/>
      <c r="E56" s="411"/>
      <c r="F56" s="411"/>
      <c r="G56" s="411"/>
      <c r="H56" s="412"/>
      <c r="I56" s="28"/>
      <c r="K56" s="62"/>
      <c r="L56" s="65"/>
      <c r="V56" s="63"/>
    </row>
    <row r="57" spans="1:22" x14ac:dyDescent="0.2">
      <c r="A57" s="410"/>
      <c r="B57" s="411"/>
      <c r="C57" s="411"/>
      <c r="D57" s="411"/>
      <c r="E57" s="411"/>
      <c r="F57" s="411"/>
      <c r="G57" s="411"/>
      <c r="H57" s="412"/>
      <c r="I57" s="28"/>
      <c r="K57" s="62"/>
      <c r="L57" s="65"/>
      <c r="V57" s="63"/>
    </row>
    <row r="58" spans="1:22" x14ac:dyDescent="0.2">
      <c r="A58" s="410"/>
      <c r="B58" s="411"/>
      <c r="C58" s="411"/>
      <c r="D58" s="411"/>
      <c r="E58" s="411"/>
      <c r="F58" s="411"/>
      <c r="G58" s="411"/>
      <c r="H58" s="412"/>
      <c r="I58" s="28"/>
      <c r="K58" s="62"/>
      <c r="L58" s="65"/>
      <c r="V58" s="63"/>
    </row>
    <row r="59" spans="1:22" x14ac:dyDescent="0.2">
      <c r="A59" s="413"/>
      <c r="B59" s="414"/>
      <c r="C59" s="414"/>
      <c r="D59" s="414"/>
      <c r="E59" s="414"/>
      <c r="F59" s="414"/>
      <c r="G59" s="414"/>
      <c r="H59" s="415"/>
      <c r="I59" s="28"/>
      <c r="K59" s="62"/>
      <c r="L59" s="65"/>
      <c r="V59" s="63"/>
    </row>
  </sheetData>
  <mergeCells count="4">
    <mergeCell ref="F1:G1"/>
    <mergeCell ref="F6:G6"/>
    <mergeCell ref="H6:H7"/>
    <mergeCell ref="A54:H59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6" orientation="portrait" horizontalDpi="4294967293" r:id="rId1"/>
  <headerFooter alignWithMargins="0"/>
  <ignoredErrors>
    <ignoredError sqref="E7" unlockedFormula="1"/>
    <ignoredError sqref="F3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45"/>
  <sheetViews>
    <sheetView zoomScaleNormal="100" workbookViewId="0"/>
  </sheetViews>
  <sheetFormatPr defaultRowHeight="15" x14ac:dyDescent="0.2"/>
  <cols>
    <col min="1" max="1" width="18.109375" style="11" customWidth="1"/>
    <col min="2" max="2" width="6.88671875" style="5" customWidth="1"/>
    <col min="3" max="3" width="6" style="12" bestFit="1" customWidth="1"/>
    <col min="4" max="4" width="8.77734375" style="194" customWidth="1"/>
    <col min="5" max="5" width="13.88671875" style="13" customWidth="1"/>
    <col min="6" max="8" width="10.77734375" style="15" customWidth="1"/>
    <col min="9" max="9" width="8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2" s="256" customFormat="1" ht="16.5" thickBot="1" x14ac:dyDescent="0.3">
      <c r="A1" s="75" t="s">
        <v>15</v>
      </c>
      <c r="B1" s="150"/>
      <c r="C1" s="151"/>
      <c r="D1" s="188"/>
      <c r="E1" s="152"/>
      <c r="F1" s="185" t="s">
        <v>151</v>
      </c>
      <c r="G1" s="248"/>
      <c r="H1" s="252"/>
      <c r="I1" s="253"/>
      <c r="J1" s="254"/>
      <c r="K1" s="12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2" s="256" customFormat="1" ht="16.5" thickBot="1" x14ac:dyDescent="0.3">
      <c r="A2" s="166" t="s">
        <v>143</v>
      </c>
      <c r="B2" s="73"/>
      <c r="C2" s="257" t="s">
        <v>8</v>
      </c>
      <c r="D2" s="258"/>
      <c r="E2" s="259"/>
      <c r="F2" s="185" t="s">
        <v>179</v>
      </c>
      <c r="G2" s="248"/>
      <c r="H2" s="252"/>
      <c r="I2" s="253"/>
      <c r="J2" s="254"/>
      <c r="K2" s="12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2" s="256" customFormat="1" ht="16.5" thickBot="1" x14ac:dyDescent="0.3">
      <c r="A3" s="166" t="s">
        <v>142</v>
      </c>
      <c r="B3" s="73"/>
      <c r="C3" s="257" t="s">
        <v>8</v>
      </c>
      <c r="D3" s="258"/>
      <c r="E3" s="259"/>
      <c r="F3" s="185"/>
      <c r="G3" s="248"/>
      <c r="H3" s="252"/>
      <c r="I3" s="253"/>
      <c r="J3" s="254"/>
      <c r="K3" s="12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2" s="256" customFormat="1" ht="16.5" thickBot="1" x14ac:dyDescent="0.3">
      <c r="A4" s="166" t="s">
        <v>137</v>
      </c>
      <c r="B4" s="73"/>
      <c r="C4" s="257" t="s">
        <v>8</v>
      </c>
      <c r="D4" s="258"/>
      <c r="E4" s="287" t="s">
        <v>178</v>
      </c>
      <c r="F4" s="248"/>
      <c r="G4" s="248"/>
      <c r="H4" s="252"/>
      <c r="I4" s="253"/>
      <c r="J4" s="254"/>
      <c r="K4" s="125"/>
      <c r="L4" s="255"/>
      <c r="M4" s="255"/>
      <c r="N4" s="255"/>
      <c r="O4" s="255"/>
      <c r="P4" s="255"/>
      <c r="Q4" s="255"/>
      <c r="R4" s="255"/>
      <c r="S4" s="255"/>
      <c r="T4" s="255"/>
      <c r="U4" s="255"/>
    </row>
    <row r="5" spans="1:22" s="256" customFormat="1" ht="16.5" thickBot="1" x14ac:dyDescent="0.3">
      <c r="A5" s="166" t="s">
        <v>176</v>
      </c>
      <c r="B5" s="73"/>
      <c r="C5" s="257" t="s">
        <v>8</v>
      </c>
      <c r="D5" s="166" t="s">
        <v>177</v>
      </c>
      <c r="E5" s="259"/>
      <c r="F5" s="248"/>
      <c r="G5" s="248"/>
      <c r="H5" s="252"/>
      <c r="I5" s="307"/>
      <c r="J5" s="253"/>
      <c r="K5" s="253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2" s="256" customFormat="1" ht="16.5" thickBot="1" x14ac:dyDescent="0.3">
      <c r="A6" s="260"/>
      <c r="B6" s="261" t="str">
        <f>IF(B2+B3+B4+B5&gt;1,"HOV - sæt kun 1 tal",".")</f>
        <v>.</v>
      </c>
      <c r="C6" s="259"/>
      <c r="D6" s="258"/>
      <c r="E6" s="259"/>
      <c r="F6" s="418" t="str">
        <f>DATABANK!B20</f>
        <v>1.1.2014</v>
      </c>
      <c r="G6" s="418"/>
      <c r="H6" s="405" t="s">
        <v>71</v>
      </c>
      <c r="I6" s="420" t="s">
        <v>153</v>
      </c>
      <c r="J6" s="308"/>
      <c r="K6" s="253"/>
      <c r="L6" s="255"/>
      <c r="M6" s="255"/>
      <c r="N6" s="255"/>
      <c r="O6" s="255"/>
      <c r="P6" s="255"/>
      <c r="Q6" s="255"/>
      <c r="R6" s="255"/>
      <c r="S6" s="255"/>
      <c r="T6" s="255"/>
      <c r="U6" s="255"/>
    </row>
    <row r="7" spans="1:22" s="256" customFormat="1" ht="15.75" thickBot="1" x14ac:dyDescent="0.25">
      <c r="A7" s="262" t="s">
        <v>19</v>
      </c>
      <c r="B7" s="126">
        <v>37</v>
      </c>
      <c r="C7" s="257"/>
      <c r="D7" s="189" t="s">
        <v>13</v>
      </c>
      <c r="E7" s="259"/>
      <c r="F7" s="83" t="s">
        <v>18</v>
      </c>
      <c r="G7" s="83" t="s">
        <v>17</v>
      </c>
      <c r="H7" s="406"/>
      <c r="I7" s="421"/>
      <c r="J7" s="308"/>
      <c r="K7" s="253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1:22" s="256" customFormat="1" x14ac:dyDescent="0.2">
      <c r="A8" s="262" t="s">
        <v>9</v>
      </c>
      <c r="B8" s="80">
        <v>42</v>
      </c>
      <c r="C8" s="71"/>
      <c r="D8" s="163">
        <f>DATABANK!B42</f>
        <v>371873</v>
      </c>
      <c r="E8" s="72" t="s">
        <v>33</v>
      </c>
      <c r="F8" s="263">
        <f>ROUND(D8*B7/37,2)</f>
        <v>371873</v>
      </c>
      <c r="G8" s="263">
        <f>ROUND(F8/12,2)</f>
        <v>30989.42</v>
      </c>
      <c r="H8" s="264"/>
      <c r="I8" s="309"/>
      <c r="J8" s="308"/>
      <c r="K8" s="253"/>
      <c r="L8" s="265"/>
      <c r="M8" s="265"/>
      <c r="N8" s="265"/>
      <c r="O8" s="265"/>
      <c r="P8" s="255"/>
      <c r="Q8" s="255"/>
      <c r="R8" s="255"/>
      <c r="S8" s="255"/>
      <c r="T8" s="255"/>
      <c r="U8" s="255"/>
      <c r="V8" s="255"/>
    </row>
    <row r="9" spans="1:22" s="256" customFormat="1" x14ac:dyDescent="0.2">
      <c r="A9" s="262" t="s">
        <v>54</v>
      </c>
      <c r="B9" s="74"/>
      <c r="C9" s="74"/>
      <c r="D9" s="165">
        <f>DATABANK!C61</f>
        <v>16703.7</v>
      </c>
      <c r="E9" s="86" t="s">
        <v>33</v>
      </c>
      <c r="F9" s="263">
        <f>ROUND(B7/37*D9,2)</f>
        <v>16703.7</v>
      </c>
      <c r="G9" s="263">
        <f>ROUND(F9/12,2)</f>
        <v>1391.98</v>
      </c>
      <c r="H9" s="264"/>
      <c r="I9" s="309"/>
      <c r="J9" s="308"/>
      <c r="K9" s="253"/>
      <c r="L9" s="265"/>
      <c r="M9" s="265"/>
      <c r="N9" s="265"/>
      <c r="O9" s="265"/>
      <c r="P9" s="254"/>
      <c r="Q9" s="254"/>
      <c r="R9" s="254"/>
      <c r="S9" s="254"/>
      <c r="T9" s="254"/>
      <c r="U9" s="254"/>
      <c r="V9" s="255"/>
    </row>
    <row r="10" spans="1:22" s="256" customFormat="1" x14ac:dyDescent="0.2">
      <c r="A10" s="266" t="s">
        <v>180</v>
      </c>
      <c r="B10" s="67"/>
      <c r="C10" s="67"/>
      <c r="D10" s="190">
        <f>(DATABANK!B45-DATABANK!B42)</f>
        <v>25484</v>
      </c>
      <c r="E10" s="87" t="s">
        <v>33</v>
      </c>
      <c r="F10" s="267">
        <f>ROUND(B7/37*D10,2)</f>
        <v>25484</v>
      </c>
      <c r="G10" s="267">
        <f>ROUND(F10/12,2)</f>
        <v>2123.67</v>
      </c>
      <c r="H10" s="264"/>
      <c r="I10" s="309"/>
      <c r="J10" s="308"/>
      <c r="K10" s="253"/>
      <c r="L10" s="265"/>
      <c r="M10" s="265"/>
      <c r="N10" s="265"/>
      <c r="O10" s="265"/>
      <c r="P10" s="254"/>
      <c r="Q10" s="254"/>
      <c r="R10" s="254"/>
      <c r="S10" s="254"/>
      <c r="T10" s="254"/>
      <c r="U10" s="254"/>
      <c r="V10" s="255"/>
    </row>
    <row r="11" spans="1:22" s="256" customFormat="1" ht="15.75" thickBot="1" x14ac:dyDescent="0.25">
      <c r="A11" s="266" t="s">
        <v>181</v>
      </c>
      <c r="B11" s="304" t="str">
        <f>IF(B12+B13=1,".","Vælg:")</f>
        <v>Vælg:</v>
      </c>
      <c r="C11" s="67"/>
      <c r="D11" s="190">
        <f>(DATABANK!B46-DATABANK!B45)</f>
        <v>8966</v>
      </c>
      <c r="E11" s="87" t="s">
        <v>33</v>
      </c>
      <c r="F11" s="267">
        <f>ROUND(B7/37*D11,2)</f>
        <v>8966</v>
      </c>
      <c r="G11" s="267">
        <f>ROUND(F11/12,2)</f>
        <v>747.17</v>
      </c>
      <c r="H11" s="264"/>
      <c r="I11" s="309">
        <f>0.173*G11</f>
        <v>129.26040999999998</v>
      </c>
      <c r="J11" s="308"/>
      <c r="K11" s="253"/>
      <c r="L11" s="265"/>
      <c r="M11" s="265"/>
      <c r="N11" s="265"/>
      <c r="O11" s="265"/>
      <c r="P11" s="254"/>
      <c r="Q11" s="254"/>
      <c r="R11" s="254"/>
      <c r="S11" s="254"/>
      <c r="T11" s="254"/>
      <c r="U11" s="254"/>
      <c r="V11" s="255"/>
    </row>
    <row r="12" spans="1:22" s="256" customFormat="1" ht="15.75" thickBot="1" x14ac:dyDescent="0.25">
      <c r="A12" s="268" t="s">
        <v>183</v>
      </c>
      <c r="B12" s="179"/>
      <c r="C12" s="169" t="s">
        <v>8</v>
      </c>
      <c r="D12" s="165">
        <f>DATABANK!C102</f>
        <v>3597.72</v>
      </c>
      <c r="E12" s="86" t="s">
        <v>33</v>
      </c>
      <c r="F12" s="269">
        <f>B7/37*D12*B12</f>
        <v>0</v>
      </c>
      <c r="G12" s="269">
        <f t="shared" ref="G12" si="0">ROUND(F12/12,2)</f>
        <v>0</v>
      </c>
      <c r="H12" s="272"/>
      <c r="I12" s="309">
        <f t="shared" ref="I12:I31" si="1">0.173*G12</f>
        <v>0</v>
      </c>
      <c r="J12" s="310"/>
      <c r="K12" s="265"/>
      <c r="L12" s="265"/>
      <c r="M12" s="265"/>
      <c r="N12" s="265"/>
      <c r="O12" s="265"/>
      <c r="P12" s="255"/>
      <c r="Q12" s="255"/>
      <c r="R12" s="255"/>
      <c r="S12" s="255"/>
      <c r="T12" s="255"/>
      <c r="U12" s="255"/>
      <c r="V12" s="255"/>
    </row>
    <row r="13" spans="1:22" s="256" customFormat="1" ht="15.75" thickBot="1" x14ac:dyDescent="0.25">
      <c r="A13" s="268" t="s">
        <v>182</v>
      </c>
      <c r="B13" s="180"/>
      <c r="C13" s="169" t="s">
        <v>8</v>
      </c>
      <c r="D13" s="165">
        <f>DATABANK!C103</f>
        <v>4175.93</v>
      </c>
      <c r="E13" s="86" t="s">
        <v>33</v>
      </c>
      <c r="F13" s="269">
        <f>B8/37*D13*B13</f>
        <v>0</v>
      </c>
      <c r="G13" s="269">
        <f t="shared" ref="G13" si="2">ROUND(F13/12,2)</f>
        <v>0</v>
      </c>
      <c r="H13" s="272"/>
      <c r="I13" s="309">
        <f t="shared" ref="I13" si="3">0.173*G13</f>
        <v>0</v>
      </c>
      <c r="J13" s="310"/>
      <c r="K13" s="265"/>
      <c r="L13" s="265"/>
      <c r="M13" s="265"/>
      <c r="N13" s="265"/>
      <c r="O13" s="265"/>
      <c r="P13" s="255"/>
      <c r="Q13" s="255"/>
      <c r="R13" s="255"/>
      <c r="S13" s="255"/>
      <c r="T13" s="255"/>
      <c r="U13" s="255"/>
      <c r="V13" s="255"/>
    </row>
    <row r="14" spans="1:22" s="256" customFormat="1" x14ac:dyDescent="0.2">
      <c r="A14" s="257" t="s">
        <v>152</v>
      </c>
      <c r="B14" s="162"/>
      <c r="C14" s="162"/>
      <c r="D14" s="163">
        <f>DATABANK!C94</f>
        <v>36362.67</v>
      </c>
      <c r="E14" s="72" t="s">
        <v>33</v>
      </c>
      <c r="F14" s="270">
        <f>B4*B$7/37*D14</f>
        <v>0</v>
      </c>
      <c r="G14" s="270">
        <f t="shared" ref="G14:G24" si="4">ROUND(F14/12,2)</f>
        <v>0</v>
      </c>
      <c r="H14" s="264"/>
      <c r="I14" s="311">
        <f t="shared" si="1"/>
        <v>0</v>
      </c>
      <c r="J14" s="253"/>
      <c r="K14" s="253"/>
      <c r="L14" s="265"/>
      <c r="M14" s="265"/>
      <c r="N14" s="265"/>
      <c r="O14" s="255"/>
      <c r="P14" s="255"/>
      <c r="Q14" s="255"/>
      <c r="R14" s="255"/>
      <c r="S14" s="255"/>
      <c r="T14" s="255"/>
      <c r="U14" s="255"/>
    </row>
    <row r="15" spans="1:22" s="256" customFormat="1" x14ac:dyDescent="0.2">
      <c r="A15" s="257" t="s">
        <v>84</v>
      </c>
      <c r="B15" s="162"/>
      <c r="C15" s="162"/>
      <c r="D15" s="163">
        <f>DATABANK!C97</f>
        <v>23899.14</v>
      </c>
      <c r="E15" s="72" t="s">
        <v>33</v>
      </c>
      <c r="F15" s="270">
        <f>(B2+B3)*B$7/37*D15</f>
        <v>0</v>
      </c>
      <c r="G15" s="270">
        <f t="shared" si="4"/>
        <v>0</v>
      </c>
      <c r="H15" s="264"/>
      <c r="I15" s="309">
        <f t="shared" si="1"/>
        <v>0</v>
      </c>
      <c r="J15" s="308"/>
      <c r="K15" s="253"/>
      <c r="L15" s="265"/>
      <c r="M15" s="265"/>
      <c r="N15" s="265"/>
      <c r="O15" s="255"/>
      <c r="P15" s="255"/>
      <c r="Q15" s="255"/>
      <c r="R15" s="255"/>
      <c r="S15" s="255"/>
      <c r="T15" s="255"/>
      <c r="U15" s="255"/>
    </row>
    <row r="16" spans="1:22" s="256" customFormat="1" x14ac:dyDescent="0.2">
      <c r="A16" s="271" t="s">
        <v>122</v>
      </c>
      <c r="B16" s="162"/>
      <c r="C16" s="162"/>
      <c r="D16" s="168">
        <f>DATABANK!C$75</f>
        <v>2055.84</v>
      </c>
      <c r="E16" s="174" t="s">
        <v>59</v>
      </c>
      <c r="F16" s="267">
        <f>D16</f>
        <v>2055.84</v>
      </c>
      <c r="G16" s="267">
        <f t="shared" si="4"/>
        <v>171.32</v>
      </c>
      <c r="H16" s="272"/>
      <c r="I16" s="309">
        <f t="shared" si="1"/>
        <v>29.638359999999995</v>
      </c>
      <c r="J16" s="308"/>
      <c r="K16" s="253"/>
      <c r="L16" s="265"/>
      <c r="M16" s="265"/>
      <c r="N16" s="265"/>
      <c r="O16" s="265"/>
      <c r="P16" s="255"/>
      <c r="Q16" s="255"/>
      <c r="R16" s="255"/>
      <c r="S16" s="255"/>
      <c r="T16" s="255"/>
      <c r="U16" s="255"/>
      <c r="V16" s="255"/>
    </row>
    <row r="17" spans="1:22" s="256" customFormat="1" x14ac:dyDescent="0.2">
      <c r="A17" s="271" t="s">
        <v>141</v>
      </c>
      <c r="B17" s="162"/>
      <c r="C17" s="162"/>
      <c r="D17" s="168">
        <f>DATABANK!C76</f>
        <v>385.47</v>
      </c>
      <c r="E17" s="174" t="s">
        <v>59</v>
      </c>
      <c r="F17" s="269">
        <f>D17*B2</f>
        <v>0</v>
      </c>
      <c r="G17" s="267">
        <f t="shared" si="4"/>
        <v>0</v>
      </c>
      <c r="H17" s="272"/>
      <c r="I17" s="309">
        <f t="shared" si="1"/>
        <v>0</v>
      </c>
      <c r="J17" s="308"/>
      <c r="K17" s="253"/>
      <c r="L17" s="265"/>
      <c r="M17" s="265"/>
      <c r="N17" s="265"/>
      <c r="O17" s="265"/>
      <c r="P17" s="255"/>
      <c r="Q17" s="255"/>
      <c r="R17" s="255"/>
      <c r="S17" s="255"/>
      <c r="T17" s="255"/>
      <c r="U17" s="255"/>
      <c r="V17" s="255"/>
    </row>
    <row r="18" spans="1:22" s="256" customFormat="1" ht="15.75" thickBot="1" x14ac:dyDescent="0.25">
      <c r="A18" s="273" t="s">
        <v>95</v>
      </c>
      <c r="B18" s="176"/>
      <c r="C18" s="177"/>
      <c r="D18" s="178">
        <f>IF(B5=1,DATABANK!C88,DATABANK!C90)</f>
        <v>3148.01</v>
      </c>
      <c r="E18" s="174" t="s">
        <v>34</v>
      </c>
      <c r="F18" s="269">
        <f>D18</f>
        <v>3148.01</v>
      </c>
      <c r="G18" s="269">
        <f t="shared" si="4"/>
        <v>262.33</v>
      </c>
      <c r="H18" s="264"/>
      <c r="I18" s="309">
        <f t="shared" si="1"/>
        <v>45.383089999999996</v>
      </c>
      <c r="J18" s="308"/>
      <c r="K18" s="253"/>
      <c r="L18" s="265"/>
      <c r="M18" s="265"/>
      <c r="N18" s="265"/>
      <c r="O18" s="265"/>
      <c r="P18" s="255"/>
      <c r="Q18" s="255"/>
      <c r="R18" s="255"/>
      <c r="S18" s="255"/>
      <c r="T18" s="255"/>
      <c r="U18" s="255"/>
      <c r="V18" s="255"/>
    </row>
    <row r="19" spans="1:22" s="256" customFormat="1" ht="15.75" thickBot="1" x14ac:dyDescent="0.25">
      <c r="A19" s="273" t="s">
        <v>124</v>
      </c>
      <c r="B19" s="179"/>
      <c r="C19" s="169" t="s">
        <v>8</v>
      </c>
      <c r="D19" s="178">
        <f>DATABANK!C$92</f>
        <v>9251.2800000000007</v>
      </c>
      <c r="E19" s="174" t="s">
        <v>34</v>
      </c>
      <c r="F19" s="269">
        <f>D19*B19</f>
        <v>0</v>
      </c>
      <c r="G19" s="269">
        <f t="shared" si="4"/>
        <v>0</v>
      </c>
      <c r="H19" s="264"/>
      <c r="I19" s="309">
        <f t="shared" si="1"/>
        <v>0</v>
      </c>
      <c r="J19" s="308"/>
      <c r="K19" s="253"/>
      <c r="L19" s="265"/>
      <c r="M19" s="265"/>
      <c r="N19" s="265"/>
      <c r="O19" s="265"/>
      <c r="P19" s="255"/>
      <c r="Q19" s="255"/>
      <c r="R19" s="255"/>
      <c r="S19" s="255"/>
      <c r="T19" s="255"/>
      <c r="U19" s="255"/>
      <c r="V19" s="255"/>
    </row>
    <row r="20" spans="1:22" s="256" customFormat="1" ht="15.75" thickBot="1" x14ac:dyDescent="0.25">
      <c r="A20" s="273" t="s">
        <v>125</v>
      </c>
      <c r="B20" s="180"/>
      <c r="C20" s="169" t="s">
        <v>8</v>
      </c>
      <c r="D20" s="178">
        <f>DATABANK!C$78</f>
        <v>30837.599999999999</v>
      </c>
      <c r="E20" s="174" t="s">
        <v>34</v>
      </c>
      <c r="F20" s="269">
        <f>D20*B20</f>
        <v>0</v>
      </c>
      <c r="G20" s="269">
        <f t="shared" si="4"/>
        <v>0</v>
      </c>
      <c r="H20" s="264"/>
      <c r="I20" s="309">
        <f t="shared" si="1"/>
        <v>0</v>
      </c>
      <c r="J20" s="308"/>
      <c r="K20" s="253"/>
      <c r="L20" s="265"/>
      <c r="M20" s="265"/>
      <c r="N20" s="265"/>
      <c r="O20" s="265"/>
      <c r="P20" s="255"/>
      <c r="Q20" s="255"/>
      <c r="R20" s="255"/>
      <c r="S20" s="255"/>
      <c r="T20" s="255"/>
      <c r="U20" s="255"/>
      <c r="V20" s="255"/>
    </row>
    <row r="21" spans="1:22" s="256" customFormat="1" ht="15.75" thickBot="1" x14ac:dyDescent="0.25">
      <c r="A21" s="273" t="s">
        <v>126</v>
      </c>
      <c r="B21" s="180"/>
      <c r="C21" s="169" t="s">
        <v>8</v>
      </c>
      <c r="D21" s="178">
        <f>DATABANK!C$79</f>
        <v>21843.3</v>
      </c>
      <c r="E21" s="174" t="s">
        <v>34</v>
      </c>
      <c r="F21" s="269">
        <f>D21*B21</f>
        <v>0</v>
      </c>
      <c r="G21" s="269">
        <f t="shared" si="4"/>
        <v>0</v>
      </c>
      <c r="H21" s="264"/>
      <c r="I21" s="311">
        <f t="shared" si="1"/>
        <v>0</v>
      </c>
      <c r="J21" s="253"/>
      <c r="K21" s="253"/>
      <c r="L21" s="265"/>
      <c r="M21" s="265"/>
      <c r="N21" s="265"/>
      <c r="O21" s="265"/>
      <c r="P21" s="255"/>
      <c r="Q21" s="255"/>
      <c r="R21" s="255"/>
      <c r="S21" s="255"/>
      <c r="T21" s="255"/>
      <c r="U21" s="255"/>
      <c r="V21" s="255"/>
    </row>
    <row r="22" spans="1:22" s="256" customFormat="1" ht="15.75" thickBot="1" x14ac:dyDescent="0.25">
      <c r="A22" s="273" t="s">
        <v>127</v>
      </c>
      <c r="B22" s="180"/>
      <c r="C22" s="177"/>
      <c r="D22" s="178">
        <f>DATABANK!C$82</f>
        <v>96.37</v>
      </c>
      <c r="E22" s="182" t="s">
        <v>131</v>
      </c>
      <c r="F22" s="269">
        <f t="shared" ref="F22:F26" si="5">B22*D22</f>
        <v>0</v>
      </c>
      <c r="G22" s="269">
        <f t="shared" si="4"/>
        <v>0</v>
      </c>
      <c r="H22" s="264"/>
      <c r="I22" s="311">
        <f t="shared" si="1"/>
        <v>0</v>
      </c>
      <c r="J22" s="253"/>
      <c r="K22" s="253"/>
      <c r="L22" s="265"/>
      <c r="M22" s="265"/>
      <c r="N22" s="265"/>
      <c r="O22" s="265"/>
      <c r="P22" s="255"/>
      <c r="Q22" s="255"/>
      <c r="R22" s="255"/>
      <c r="S22" s="255"/>
      <c r="T22" s="255"/>
      <c r="U22" s="255"/>
      <c r="V22" s="255"/>
    </row>
    <row r="23" spans="1:22" s="256" customFormat="1" ht="15.75" thickBot="1" x14ac:dyDescent="0.25">
      <c r="A23" s="273" t="s">
        <v>129</v>
      </c>
      <c r="B23" s="179"/>
      <c r="C23" s="169" t="s">
        <v>8</v>
      </c>
      <c r="D23" s="178">
        <f>DATABANK!C$83</f>
        <v>3854.7</v>
      </c>
      <c r="E23" s="174" t="s">
        <v>34</v>
      </c>
      <c r="F23" s="269">
        <f t="shared" si="5"/>
        <v>0</v>
      </c>
      <c r="G23" s="269">
        <f t="shared" si="4"/>
        <v>0</v>
      </c>
      <c r="H23" s="264"/>
      <c r="I23" s="309">
        <f t="shared" si="1"/>
        <v>0</v>
      </c>
      <c r="J23" s="308"/>
      <c r="K23" s="253"/>
      <c r="L23" s="265"/>
      <c r="M23" s="265"/>
      <c r="N23" s="265"/>
      <c r="O23" s="265"/>
      <c r="P23" s="255"/>
      <c r="Q23" s="255"/>
      <c r="R23" s="255"/>
      <c r="S23" s="255"/>
      <c r="T23" s="255"/>
      <c r="U23" s="255"/>
      <c r="V23" s="255"/>
    </row>
    <row r="24" spans="1:22" s="256" customFormat="1" ht="15.75" thickBot="1" x14ac:dyDescent="0.25">
      <c r="A24" s="273" t="s">
        <v>128</v>
      </c>
      <c r="B24" s="180"/>
      <c r="C24" s="169" t="s">
        <v>8</v>
      </c>
      <c r="D24" s="178">
        <f>DATABANK!C$84</f>
        <v>1284.9000000000001</v>
      </c>
      <c r="E24" s="174" t="s">
        <v>34</v>
      </c>
      <c r="F24" s="269">
        <f t="shared" si="5"/>
        <v>0</v>
      </c>
      <c r="G24" s="269">
        <f t="shared" si="4"/>
        <v>0</v>
      </c>
      <c r="H24" s="264"/>
      <c r="I24" s="309">
        <f t="shared" si="1"/>
        <v>0</v>
      </c>
      <c r="J24" s="308"/>
      <c r="K24" s="253"/>
      <c r="L24" s="265"/>
      <c r="M24" s="265"/>
      <c r="N24" s="265"/>
      <c r="O24" s="265"/>
      <c r="P24" s="255"/>
      <c r="Q24" s="255"/>
      <c r="R24" s="255"/>
      <c r="S24" s="255"/>
      <c r="T24" s="255"/>
      <c r="U24" s="255"/>
      <c r="V24" s="255"/>
    </row>
    <row r="25" spans="1:22" s="256" customFormat="1" ht="15.75" thickBot="1" x14ac:dyDescent="0.25">
      <c r="A25" s="273" t="s">
        <v>112</v>
      </c>
      <c r="B25" s="180"/>
      <c r="C25" s="177" t="s">
        <v>8</v>
      </c>
      <c r="D25" s="178">
        <f>DATABANK!C85</f>
        <v>3854.7</v>
      </c>
      <c r="E25" s="174" t="s">
        <v>34</v>
      </c>
      <c r="F25" s="269">
        <f t="shared" si="5"/>
        <v>0</v>
      </c>
      <c r="G25" s="269">
        <f>ROUND(F25/12,2)</f>
        <v>0</v>
      </c>
      <c r="H25" s="264"/>
      <c r="I25" s="311">
        <f t="shared" si="1"/>
        <v>0</v>
      </c>
      <c r="J25" s="253"/>
      <c r="K25" s="253"/>
      <c r="L25" s="265"/>
      <c r="M25" s="265"/>
      <c r="N25" s="265"/>
      <c r="O25" s="265"/>
      <c r="P25" s="255"/>
      <c r="Q25" s="255"/>
      <c r="R25" s="255"/>
      <c r="S25" s="255"/>
      <c r="T25" s="255"/>
      <c r="U25" s="255"/>
      <c r="V25" s="255"/>
    </row>
    <row r="26" spans="1:22" s="256" customFormat="1" ht="15.75" thickBot="1" x14ac:dyDescent="0.25">
      <c r="A26" s="273" t="s">
        <v>132</v>
      </c>
      <c r="B26" s="180"/>
      <c r="C26" s="177" t="s">
        <v>8</v>
      </c>
      <c r="D26" s="178">
        <f>DATABANK!C$86</f>
        <v>1927.35</v>
      </c>
      <c r="E26" s="174" t="s">
        <v>34</v>
      </c>
      <c r="F26" s="269">
        <f t="shared" si="5"/>
        <v>0</v>
      </c>
      <c r="G26" s="269">
        <f>ROUND(F26/12,2)</f>
        <v>0</v>
      </c>
      <c r="H26" s="264"/>
      <c r="I26" s="309">
        <f t="shared" si="1"/>
        <v>0</v>
      </c>
      <c r="J26" s="308"/>
      <c r="K26" s="253"/>
      <c r="L26" s="265"/>
      <c r="M26" s="265"/>
      <c r="N26" s="265"/>
      <c r="O26" s="265"/>
      <c r="P26" s="255"/>
      <c r="Q26" s="255"/>
      <c r="R26" s="255"/>
      <c r="S26" s="255"/>
      <c r="T26" s="255"/>
      <c r="U26" s="255"/>
      <c r="V26" s="255"/>
    </row>
    <row r="27" spans="1:22" s="256" customFormat="1" ht="15.75" thickBot="1" x14ac:dyDescent="0.25">
      <c r="A27" s="274" t="s">
        <v>133</v>
      </c>
      <c r="B27" s="180"/>
      <c r="C27" s="177"/>
      <c r="D27" s="178"/>
      <c r="E27" s="174"/>
      <c r="F27" s="220"/>
      <c r="G27" s="220"/>
      <c r="H27" s="264"/>
      <c r="I27" s="309">
        <f t="shared" si="1"/>
        <v>0</v>
      </c>
      <c r="J27" s="308"/>
      <c r="K27" s="253"/>
      <c r="L27" s="65"/>
      <c r="M27" s="255"/>
      <c r="N27" s="255"/>
      <c r="O27" s="255"/>
      <c r="P27" s="255"/>
      <c r="Q27" s="255"/>
      <c r="R27" s="255"/>
      <c r="S27" s="255"/>
      <c r="T27" s="255"/>
      <c r="U27" s="255"/>
      <c r="V27" s="255"/>
    </row>
    <row r="28" spans="1:22" s="256" customFormat="1" x14ac:dyDescent="0.2">
      <c r="A28" s="273" t="s">
        <v>123</v>
      </c>
      <c r="B28" s="247">
        <f>IF(B27&lt;B$7/37*700.5,1,0)</f>
        <v>1</v>
      </c>
      <c r="C28" s="169"/>
      <c r="D28" s="168">
        <f>B$7/37*DATABANK!C70</f>
        <v>5525.07</v>
      </c>
      <c r="E28" s="174" t="s">
        <v>34</v>
      </c>
      <c r="F28" s="269">
        <f t="shared" ref="F28:F31" si="6">D28*B28</f>
        <v>5525.07</v>
      </c>
      <c r="G28" s="269">
        <f t="shared" ref="G28:G37" si="7">ROUND(F28/12,2)</f>
        <v>460.42</v>
      </c>
      <c r="H28" s="264"/>
      <c r="I28" s="309">
        <f t="shared" si="1"/>
        <v>79.652659999999997</v>
      </c>
      <c r="J28" s="308"/>
      <c r="K28" s="253"/>
      <c r="L28" s="65"/>
      <c r="M28" s="255"/>
      <c r="N28" s="255"/>
      <c r="O28" s="255"/>
      <c r="P28" s="255"/>
      <c r="Q28" s="255"/>
      <c r="R28" s="255"/>
      <c r="S28" s="255"/>
      <c r="T28" s="255"/>
      <c r="U28" s="255"/>
      <c r="V28" s="255"/>
    </row>
    <row r="29" spans="1:22" s="256" customFormat="1" x14ac:dyDescent="0.2">
      <c r="A29" s="273" t="s">
        <v>134</v>
      </c>
      <c r="B29" s="247">
        <f>IF(B27&gt;B$7/37*700.5,1-B30-B31,0)</f>
        <v>0</v>
      </c>
      <c r="C29" s="169"/>
      <c r="D29" s="168">
        <f>B$7/37*DATABANK!C71</f>
        <v>7709.4</v>
      </c>
      <c r="E29" s="174" t="s">
        <v>34</v>
      </c>
      <c r="F29" s="269">
        <f t="shared" si="6"/>
        <v>0</v>
      </c>
      <c r="G29" s="269">
        <f t="shared" si="7"/>
        <v>0</v>
      </c>
      <c r="H29" s="213"/>
      <c r="I29" s="309">
        <f t="shared" si="1"/>
        <v>0</v>
      </c>
      <c r="J29" s="308"/>
      <c r="K29" s="253"/>
      <c r="L29" s="65"/>
      <c r="M29" s="255"/>
      <c r="N29" s="255"/>
      <c r="O29" s="255"/>
      <c r="P29" s="255"/>
      <c r="Q29" s="255"/>
      <c r="R29" s="255"/>
      <c r="S29" s="255"/>
      <c r="T29" s="255"/>
      <c r="U29" s="255"/>
      <c r="V29" s="255"/>
    </row>
    <row r="30" spans="1:22" s="256" customFormat="1" x14ac:dyDescent="0.2">
      <c r="A30" s="273" t="s">
        <v>135</v>
      </c>
      <c r="B30" s="247">
        <f>IF(B27&gt;B$7/37*735.5,1-B31,0)</f>
        <v>0</v>
      </c>
      <c r="C30" s="169"/>
      <c r="D30" s="168">
        <f>B$7/37*DATABANK!C72</f>
        <v>12849</v>
      </c>
      <c r="E30" s="174" t="s">
        <v>34</v>
      </c>
      <c r="F30" s="269">
        <f t="shared" si="6"/>
        <v>0</v>
      </c>
      <c r="G30" s="269">
        <f t="shared" si="7"/>
        <v>0</v>
      </c>
      <c r="H30" s="264"/>
      <c r="I30" s="311">
        <f t="shared" si="1"/>
        <v>0</v>
      </c>
      <c r="J30" s="253"/>
      <c r="K30" s="253"/>
      <c r="L30" s="65"/>
      <c r="M30" s="255"/>
      <c r="N30" s="255"/>
      <c r="O30" s="255"/>
      <c r="P30" s="255"/>
      <c r="Q30" s="255"/>
      <c r="R30" s="255"/>
      <c r="S30" s="255"/>
      <c r="T30" s="255"/>
      <c r="U30" s="255"/>
      <c r="V30" s="255"/>
    </row>
    <row r="31" spans="1:22" s="256" customFormat="1" ht="15.75" thickBot="1" x14ac:dyDescent="0.25">
      <c r="A31" s="273" t="s">
        <v>136</v>
      </c>
      <c r="B31" s="247">
        <f>IF(B27&gt;B$7/37*770.4999,1,0)</f>
        <v>0</v>
      </c>
      <c r="C31" s="169"/>
      <c r="D31" s="168">
        <f>B$7/37*DATABANK!C73</f>
        <v>16703.7</v>
      </c>
      <c r="E31" s="174" t="s">
        <v>34</v>
      </c>
      <c r="F31" s="269">
        <f t="shared" si="6"/>
        <v>0</v>
      </c>
      <c r="G31" s="269">
        <f t="shared" si="7"/>
        <v>0</v>
      </c>
      <c r="H31" s="264"/>
      <c r="I31" s="311">
        <f t="shared" si="1"/>
        <v>0</v>
      </c>
      <c r="J31" s="253"/>
      <c r="K31" s="253"/>
      <c r="L31" s="65"/>
      <c r="M31" s="255"/>
      <c r="N31" s="255"/>
      <c r="O31" s="255"/>
      <c r="P31" s="255"/>
      <c r="Q31" s="255"/>
      <c r="R31" s="255"/>
      <c r="S31" s="255"/>
      <c r="T31" s="255"/>
      <c r="U31" s="255"/>
      <c r="V31" s="255"/>
    </row>
    <row r="32" spans="1:22" s="256" customFormat="1" ht="15.75" thickBot="1" x14ac:dyDescent="0.25">
      <c r="A32" s="257" t="s">
        <v>144</v>
      </c>
      <c r="B32" s="305" t="str">
        <f>IF(B2+B3=1,B27,"0")</f>
        <v>0</v>
      </c>
      <c r="C32" s="71" t="s">
        <v>7</v>
      </c>
      <c r="D32" s="163">
        <f>DATABANK!C99</f>
        <v>24.31</v>
      </c>
      <c r="E32" s="70" t="s">
        <v>14</v>
      </c>
      <c r="F32" s="270">
        <f>ROUND(B32*D32,2)</f>
        <v>0</v>
      </c>
      <c r="G32" s="270">
        <f>ROUND(F32/12,2)</f>
        <v>0</v>
      </c>
      <c r="H32" s="264"/>
      <c r="I32" s="309">
        <f t="shared" ref="I32:I36" si="8">0.173*F32</f>
        <v>0</v>
      </c>
      <c r="J32" s="308"/>
      <c r="K32" s="253"/>
      <c r="L32" s="255"/>
      <c r="M32" s="255"/>
      <c r="N32" s="255"/>
      <c r="O32" s="255"/>
      <c r="P32" s="255"/>
      <c r="Q32" s="255"/>
      <c r="R32" s="255"/>
      <c r="S32" s="255"/>
      <c r="T32" s="255"/>
      <c r="U32" s="255"/>
    </row>
    <row r="33" spans="1:22" s="256" customFormat="1" ht="15.75" thickBot="1" x14ac:dyDescent="0.25">
      <c r="A33" s="257" t="s">
        <v>48</v>
      </c>
      <c r="B33" s="251"/>
      <c r="C33" s="71" t="s">
        <v>7</v>
      </c>
      <c r="D33" s="163">
        <f>DATABANK!$C$98</f>
        <v>41.67</v>
      </c>
      <c r="E33" s="70" t="s">
        <v>14</v>
      </c>
      <c r="F33" s="275">
        <f>ROUND(B$5*B33*D33,2)</f>
        <v>0</v>
      </c>
      <c r="G33" s="275">
        <f t="shared" si="7"/>
        <v>0</v>
      </c>
      <c r="H33" s="264"/>
      <c r="I33" s="311">
        <f t="shared" si="8"/>
        <v>0</v>
      </c>
      <c r="J33" s="253"/>
      <c r="K33" s="253"/>
      <c r="L33" s="65"/>
      <c r="M33" s="255"/>
      <c r="N33" s="255"/>
      <c r="O33" s="255"/>
      <c r="P33" s="255"/>
      <c r="Q33" s="255"/>
      <c r="R33" s="255"/>
      <c r="S33" s="255"/>
      <c r="T33" s="255"/>
      <c r="U33" s="255"/>
      <c r="V33" s="255"/>
    </row>
    <row r="34" spans="1:22" s="256" customFormat="1" ht="15.75" thickBot="1" x14ac:dyDescent="0.25">
      <c r="A34" s="257" t="s">
        <v>51</v>
      </c>
      <c r="B34" s="251"/>
      <c r="C34" s="71" t="s">
        <v>7</v>
      </c>
      <c r="D34" s="163">
        <f>DATABANK!$C$100</f>
        <v>19.27</v>
      </c>
      <c r="E34" s="70" t="s">
        <v>14</v>
      </c>
      <c r="F34" s="275">
        <f t="shared" ref="F34:F35" si="9">ROUND(B$5*B34*D34,2)</f>
        <v>0</v>
      </c>
      <c r="G34" s="275">
        <f t="shared" si="7"/>
        <v>0</v>
      </c>
      <c r="H34" s="264"/>
      <c r="I34" s="309">
        <f t="shared" si="8"/>
        <v>0</v>
      </c>
      <c r="J34" s="308"/>
      <c r="K34" s="253"/>
      <c r="L34" s="65"/>
      <c r="M34" s="255"/>
      <c r="N34" s="255"/>
      <c r="O34" s="255"/>
      <c r="P34" s="255"/>
      <c r="Q34" s="255"/>
      <c r="R34" s="255"/>
      <c r="S34" s="255"/>
      <c r="T34" s="255"/>
      <c r="U34" s="255"/>
      <c r="V34" s="255"/>
    </row>
    <row r="35" spans="1:22" s="256" customFormat="1" ht="15.75" thickBot="1" x14ac:dyDescent="0.25">
      <c r="A35" s="257" t="s">
        <v>53</v>
      </c>
      <c r="B35" s="251"/>
      <c r="C35" s="71" t="s">
        <v>7</v>
      </c>
      <c r="D35" s="163">
        <f>DATABANK!$C$101</f>
        <v>33.200000000000003</v>
      </c>
      <c r="E35" s="70" t="s">
        <v>14</v>
      </c>
      <c r="F35" s="275">
        <f t="shared" si="9"/>
        <v>0</v>
      </c>
      <c r="G35" s="275">
        <f t="shared" si="7"/>
        <v>0</v>
      </c>
      <c r="H35" s="264"/>
      <c r="I35" s="311">
        <f t="shared" si="8"/>
        <v>0</v>
      </c>
      <c r="J35" s="253"/>
      <c r="K35" s="253"/>
      <c r="L35" s="65"/>
      <c r="M35" s="255"/>
      <c r="N35" s="255"/>
      <c r="O35" s="255"/>
      <c r="P35" s="255"/>
      <c r="Q35" s="255"/>
      <c r="R35" s="255"/>
      <c r="S35" s="255"/>
      <c r="T35" s="255"/>
      <c r="U35" s="255"/>
      <c r="V35" s="255"/>
    </row>
    <row r="36" spans="1:22" s="256" customFormat="1" ht="15.75" thickBot="1" x14ac:dyDescent="0.25">
      <c r="A36" s="262" t="s">
        <v>61</v>
      </c>
      <c r="B36" s="82"/>
      <c r="C36" s="74" t="s">
        <v>8</v>
      </c>
      <c r="D36" s="163">
        <f>DATABANK!$C$107</f>
        <v>12849</v>
      </c>
      <c r="E36" s="70" t="s">
        <v>59</v>
      </c>
      <c r="F36" s="275">
        <f t="shared" ref="F36" si="10">ROUND(B36*D36,2)</f>
        <v>0</v>
      </c>
      <c r="G36" s="275">
        <f t="shared" si="7"/>
        <v>0</v>
      </c>
      <c r="H36" s="264"/>
      <c r="I36" s="312">
        <f t="shared" si="8"/>
        <v>0</v>
      </c>
      <c r="J36" s="253"/>
      <c r="K36" s="253"/>
      <c r="L36" s="65"/>
      <c r="M36" s="255"/>
      <c r="N36" s="255"/>
      <c r="O36" s="255"/>
      <c r="P36" s="255"/>
      <c r="Q36" s="255"/>
      <c r="R36" s="255"/>
      <c r="S36" s="255"/>
      <c r="T36" s="255"/>
      <c r="U36" s="255"/>
      <c r="V36" s="255"/>
    </row>
    <row r="37" spans="1:22" s="256" customFormat="1" ht="16.5" thickBot="1" x14ac:dyDescent="0.3">
      <c r="A37" s="276" t="s">
        <v>4</v>
      </c>
      <c r="B37" s="92"/>
      <c r="C37" s="93"/>
      <c r="D37" s="191"/>
      <c r="E37" s="95"/>
      <c r="F37" s="277">
        <f>SUM(F8:F36)</f>
        <v>433755.62000000005</v>
      </c>
      <c r="G37" s="277">
        <f t="shared" si="7"/>
        <v>36146.300000000003</v>
      </c>
      <c r="H37" s="278">
        <f>SUM(H8:H36)</f>
        <v>0</v>
      </c>
      <c r="I37" s="313">
        <f>SUM(I14:I36)</f>
        <v>154.67410999999998</v>
      </c>
      <c r="J37" s="308"/>
      <c r="K37" s="253"/>
      <c r="L37" s="65"/>
      <c r="M37" s="255"/>
      <c r="N37" s="255"/>
      <c r="O37" s="255"/>
      <c r="P37" s="255"/>
      <c r="Q37" s="255"/>
      <c r="R37" s="255"/>
      <c r="S37" s="255"/>
      <c r="T37" s="255"/>
      <c r="U37" s="255"/>
      <c r="V37" s="255"/>
    </row>
    <row r="38" spans="1:22" s="256" customFormat="1" ht="16.5" thickBot="1" x14ac:dyDescent="0.3">
      <c r="A38" s="276" t="s">
        <v>72</v>
      </c>
      <c r="B38" s="104"/>
      <c r="C38" s="105"/>
      <c r="D38" s="192"/>
      <c r="E38" s="107"/>
      <c r="F38" s="279"/>
      <c r="G38" s="280">
        <f>H37-G37</f>
        <v>-36146.300000000003</v>
      </c>
      <c r="H38" s="281"/>
      <c r="I38" s="282"/>
      <c r="J38" s="254"/>
      <c r="K38" s="283"/>
      <c r="L38" s="65"/>
      <c r="M38" s="255"/>
      <c r="N38" s="255"/>
      <c r="O38" s="255"/>
      <c r="P38" s="255"/>
      <c r="Q38" s="255"/>
      <c r="R38" s="255"/>
      <c r="S38" s="255"/>
      <c r="T38" s="255"/>
      <c r="U38" s="255"/>
      <c r="V38" s="255"/>
    </row>
    <row r="39" spans="1:22" s="256" customFormat="1" x14ac:dyDescent="0.2">
      <c r="A39" s="284" t="s">
        <v>73</v>
      </c>
      <c r="B39" s="52"/>
      <c r="C39" s="45"/>
      <c r="D39" s="193"/>
      <c r="E39" s="47"/>
      <c r="F39" s="285"/>
      <c r="G39" s="285"/>
      <c r="H39" s="286"/>
      <c r="I39" s="252"/>
      <c r="J39" s="254"/>
      <c r="K39" s="254"/>
      <c r="L39" s="65"/>
      <c r="M39" s="255"/>
      <c r="N39" s="255"/>
      <c r="O39" s="255"/>
      <c r="P39" s="255"/>
      <c r="Q39" s="255"/>
      <c r="R39" s="255"/>
      <c r="S39" s="255"/>
      <c r="T39" s="255"/>
      <c r="U39" s="255"/>
      <c r="V39" s="255"/>
    </row>
    <row r="40" spans="1:22" x14ac:dyDescent="0.2">
      <c r="A40" s="407"/>
      <c r="B40" s="408"/>
      <c r="C40" s="408"/>
      <c r="D40" s="408"/>
      <c r="E40" s="408"/>
      <c r="F40" s="408"/>
      <c r="G40" s="408"/>
      <c r="H40" s="409"/>
    </row>
    <row r="41" spans="1:22" x14ac:dyDescent="0.2">
      <c r="A41" s="410"/>
      <c r="B41" s="411"/>
      <c r="C41" s="411"/>
      <c r="D41" s="411"/>
      <c r="E41" s="411"/>
      <c r="F41" s="411"/>
      <c r="G41" s="411"/>
      <c r="H41" s="412"/>
    </row>
    <row r="42" spans="1:22" x14ac:dyDescent="0.2">
      <c r="A42" s="410"/>
      <c r="B42" s="411"/>
      <c r="C42" s="411"/>
      <c r="D42" s="411"/>
      <c r="E42" s="411"/>
      <c r="F42" s="411"/>
      <c r="G42" s="411"/>
      <c r="H42" s="412"/>
    </row>
    <row r="43" spans="1:22" x14ac:dyDescent="0.2">
      <c r="A43" s="410"/>
      <c r="B43" s="411"/>
      <c r="C43" s="411"/>
      <c r="D43" s="411"/>
      <c r="E43" s="411"/>
      <c r="F43" s="411"/>
      <c r="G43" s="411"/>
      <c r="H43" s="412"/>
    </row>
    <row r="44" spans="1:22" x14ac:dyDescent="0.2">
      <c r="A44" s="410"/>
      <c r="B44" s="411"/>
      <c r="C44" s="411"/>
      <c r="D44" s="411"/>
      <c r="E44" s="411"/>
      <c r="F44" s="411"/>
      <c r="G44" s="411"/>
      <c r="H44" s="412"/>
    </row>
    <row r="45" spans="1:22" x14ac:dyDescent="0.2">
      <c r="A45" s="413"/>
      <c r="B45" s="414"/>
      <c r="C45" s="414"/>
      <c r="D45" s="414"/>
      <c r="E45" s="414"/>
      <c r="F45" s="414"/>
      <c r="G45" s="414"/>
      <c r="H45" s="415"/>
    </row>
  </sheetData>
  <mergeCells count="4">
    <mergeCell ref="F6:G6"/>
    <mergeCell ref="H6:H7"/>
    <mergeCell ref="A40:H45"/>
    <mergeCell ref="I6:I7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F1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31"/>
  <sheetViews>
    <sheetView showGridLines="0" workbookViewId="0">
      <selection sqref="A1:H1"/>
    </sheetView>
  </sheetViews>
  <sheetFormatPr defaultRowHeight="15" x14ac:dyDescent="0.2"/>
  <sheetData>
    <row r="1" spans="1:8" ht="15.75" x14ac:dyDescent="0.25">
      <c r="A1" s="422" t="s">
        <v>27</v>
      </c>
      <c r="B1" s="423"/>
      <c r="C1" s="423"/>
      <c r="D1" s="423"/>
      <c r="E1" s="423"/>
      <c r="F1" s="423"/>
      <c r="G1" s="423"/>
      <c r="H1" s="424"/>
    </row>
    <row r="2" spans="1:8" x14ac:dyDescent="0.2">
      <c r="F2" s="40" t="s">
        <v>30</v>
      </c>
      <c r="G2" s="40" t="s">
        <v>16</v>
      </c>
      <c r="H2" s="40" t="s">
        <v>31</v>
      </c>
    </row>
    <row r="3" spans="1:8" x14ac:dyDescent="0.2">
      <c r="A3" s="37" t="s">
        <v>29</v>
      </c>
      <c r="B3" s="38"/>
      <c r="C3" s="38"/>
      <c r="D3" s="38"/>
      <c r="E3" s="38"/>
      <c r="F3" s="44"/>
      <c r="G3" s="39">
        <f>DATABANK!C95</f>
        <v>163.61000000000001</v>
      </c>
      <c r="H3" s="42">
        <f>F3*G3</f>
        <v>0</v>
      </c>
    </row>
    <row r="4" spans="1:8" x14ac:dyDescent="0.2">
      <c r="A4" s="37" t="s">
        <v>28</v>
      </c>
      <c r="B4" s="38"/>
      <c r="C4" s="38"/>
      <c r="D4" s="38"/>
      <c r="E4" s="38"/>
      <c r="F4" s="44"/>
      <c r="G4" s="39">
        <f>DATABANK!C96</f>
        <v>372.13</v>
      </c>
      <c r="H4" s="42">
        <f>F4*G4</f>
        <v>0</v>
      </c>
    </row>
    <row r="5" spans="1:8" ht="15.75" x14ac:dyDescent="0.25">
      <c r="A5" s="37" t="s">
        <v>4</v>
      </c>
      <c r="B5" s="38"/>
      <c r="C5" s="38"/>
      <c r="D5" s="38"/>
      <c r="E5" s="38"/>
      <c r="F5" s="43">
        <f>SUM(F3:F4)</f>
        <v>0</v>
      </c>
      <c r="G5" s="39"/>
      <c r="H5" s="41">
        <f>SUM(H3:H4)</f>
        <v>0</v>
      </c>
    </row>
    <row r="7" spans="1:8" x14ac:dyDescent="0.2">
      <c r="A7" t="s">
        <v>32</v>
      </c>
      <c r="B7" s="36" t="str">
        <f>DATABANK!B20</f>
        <v>1.1.2014</v>
      </c>
    </row>
    <row r="9" spans="1:8" ht="15.75" x14ac:dyDescent="0.25">
      <c r="A9" s="422" t="s">
        <v>159</v>
      </c>
      <c r="B9" s="423"/>
      <c r="C9" s="423"/>
      <c r="D9" s="423"/>
      <c r="E9" s="423"/>
      <c r="F9" s="423"/>
      <c r="G9" s="423"/>
      <c r="H9" s="424"/>
    </row>
    <row r="10" spans="1:8" s="246" customFormat="1" x14ac:dyDescent="0.2">
      <c r="A10" s="246" t="s">
        <v>160</v>
      </c>
    </row>
    <row r="11" spans="1:8" s="246" customFormat="1" x14ac:dyDescent="0.2">
      <c r="A11" s="246" t="s">
        <v>170</v>
      </c>
      <c r="H11" s="246">
        <f>DATABANK!C118</f>
        <v>33.56</v>
      </c>
    </row>
    <row r="12" spans="1:8" s="246" customFormat="1" x14ac:dyDescent="0.2">
      <c r="A12" s="246" t="s">
        <v>161</v>
      </c>
    </row>
    <row r="13" spans="1:8" s="246" customFormat="1" x14ac:dyDescent="0.2">
      <c r="A13" s="246" t="s">
        <v>174</v>
      </c>
    </row>
    <row r="14" spans="1:8" ht="15.75" thickBot="1" x14ac:dyDescent="0.25">
      <c r="A14" s="210"/>
      <c r="B14" s="210"/>
      <c r="C14" s="210"/>
      <c r="D14" s="210"/>
      <c r="E14" s="210"/>
      <c r="F14" s="246"/>
      <c r="G14" s="246"/>
      <c r="H14" s="246"/>
    </row>
    <row r="15" spans="1:8" s="246" customFormat="1" ht="15.75" thickBot="1" x14ac:dyDescent="0.25">
      <c r="A15" s="246" t="s">
        <v>162</v>
      </c>
      <c r="C15" s="249">
        <v>0</v>
      </c>
      <c r="D15" s="246" t="s">
        <v>163</v>
      </c>
    </row>
    <row r="16" spans="1:8" s="246" customFormat="1" x14ac:dyDescent="0.2">
      <c r="A16" s="246" t="s">
        <v>164</v>
      </c>
    </row>
    <row r="17" spans="1:8" s="246" customFormat="1" x14ac:dyDescent="0.2"/>
    <row r="18" spans="1:8" x14ac:dyDescent="0.2">
      <c r="A18" s="37" t="s">
        <v>165</v>
      </c>
      <c r="B18" s="38"/>
      <c r="C18" s="38"/>
      <c r="D18" s="38"/>
      <c r="E18" s="38"/>
      <c r="F18" s="44"/>
      <c r="G18" s="39">
        <f t="shared" ref="G18:G21" si="0">MAX(0.25*C$15,H$11)</f>
        <v>33.56</v>
      </c>
      <c r="H18" s="42">
        <f t="shared" ref="H18:H21" si="1">F18*G18</f>
        <v>0</v>
      </c>
    </row>
    <row r="19" spans="1:8" s="246" customFormat="1" x14ac:dyDescent="0.2">
      <c r="A19" s="37" t="s">
        <v>166</v>
      </c>
      <c r="B19" s="38"/>
      <c r="C19" s="38"/>
      <c r="D19" s="38"/>
      <c r="E19" s="38"/>
      <c r="F19" s="44"/>
      <c r="G19" s="39">
        <f t="shared" si="0"/>
        <v>33.56</v>
      </c>
      <c r="H19" s="42">
        <f t="shared" si="1"/>
        <v>0</v>
      </c>
    </row>
    <row r="20" spans="1:8" s="246" customFormat="1" x14ac:dyDescent="0.2">
      <c r="A20" s="37" t="s">
        <v>167</v>
      </c>
      <c r="B20" s="38"/>
      <c r="C20" s="38"/>
      <c r="D20" s="38"/>
      <c r="E20" s="38"/>
      <c r="F20" s="44"/>
      <c r="G20" s="39">
        <f t="shared" si="0"/>
        <v>33.56</v>
      </c>
      <c r="H20" s="42">
        <f t="shared" si="1"/>
        <v>0</v>
      </c>
    </row>
    <row r="21" spans="1:8" s="210" customFormat="1" x14ac:dyDescent="0.2">
      <c r="A21" s="37" t="s">
        <v>168</v>
      </c>
      <c r="B21" s="38"/>
      <c r="C21" s="38"/>
      <c r="D21" s="38"/>
      <c r="E21" s="38"/>
      <c r="F21" s="44"/>
      <c r="G21" s="39">
        <f t="shared" si="0"/>
        <v>33.56</v>
      </c>
      <c r="H21" s="42">
        <f t="shared" si="1"/>
        <v>0</v>
      </c>
    </row>
    <row r="22" spans="1:8" ht="15.75" x14ac:dyDescent="0.25">
      <c r="A22" s="37" t="s">
        <v>4</v>
      </c>
      <c r="B22" s="38"/>
      <c r="C22" s="38"/>
      <c r="D22" s="38"/>
      <c r="E22" s="38"/>
      <c r="F22" s="43"/>
      <c r="G22" s="39"/>
      <c r="H22" s="41">
        <f>SUM(H18:H21)</f>
        <v>0</v>
      </c>
    </row>
    <row r="25" spans="1:8" ht="15.75" x14ac:dyDescent="0.25">
      <c r="A25" s="422" t="s">
        <v>171</v>
      </c>
      <c r="B25" s="423"/>
      <c r="C25" s="423"/>
      <c r="D25" s="423"/>
      <c r="E25" s="423"/>
      <c r="F25" s="423"/>
      <c r="G25" s="423"/>
      <c r="H25" s="424"/>
    </row>
    <row r="26" spans="1:8" s="246" customFormat="1" x14ac:dyDescent="0.2">
      <c r="A26" s="250" t="s">
        <v>175</v>
      </c>
    </row>
    <row r="27" spans="1:8" s="246" customFormat="1" x14ac:dyDescent="0.2">
      <c r="A27" s="246" t="s">
        <v>172</v>
      </c>
    </row>
    <row r="28" spans="1:8" s="246" customFormat="1" x14ac:dyDescent="0.2">
      <c r="A28" s="246" t="s">
        <v>173</v>
      </c>
    </row>
    <row r="29" spans="1:8" s="246" customFormat="1" x14ac:dyDescent="0.2"/>
    <row r="30" spans="1:8" x14ac:dyDescent="0.2">
      <c r="A30" s="210"/>
      <c r="B30" s="210"/>
      <c r="C30" s="210"/>
      <c r="D30" s="210"/>
      <c r="E30" s="210"/>
      <c r="F30" s="210"/>
      <c r="G30" s="210"/>
      <c r="H30" s="210"/>
    </row>
    <row r="31" spans="1:8" x14ac:dyDescent="0.2">
      <c r="A31" s="210"/>
      <c r="B31" s="210"/>
      <c r="C31" s="210"/>
      <c r="D31" s="210"/>
      <c r="E31" s="210"/>
      <c r="F31" s="210"/>
      <c r="G31" s="210"/>
      <c r="H31" s="210"/>
    </row>
  </sheetData>
  <mergeCells count="3">
    <mergeCell ref="A1:H1"/>
    <mergeCell ref="A9:H9"/>
    <mergeCell ref="A25:H25"/>
  </mergeCells>
  <phoneticPr fontId="1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U131"/>
  <sheetViews>
    <sheetView showGridLines="0" workbookViewId="0"/>
  </sheetViews>
  <sheetFormatPr defaultRowHeight="15" x14ac:dyDescent="0.2"/>
  <cols>
    <col min="1" max="1" width="12" bestFit="1" customWidth="1"/>
    <col min="2" max="13" width="6.77734375" customWidth="1"/>
    <col min="19" max="19" width="9.44140625" bestFit="1" customWidth="1"/>
  </cols>
  <sheetData>
    <row r="1" spans="1:21" s="148" customFormat="1" ht="15.75" x14ac:dyDescent="0.25">
      <c r="A1" s="239" t="s">
        <v>145</v>
      </c>
      <c r="B1" s="224">
        <v>41852</v>
      </c>
      <c r="C1" s="224">
        <v>41883</v>
      </c>
      <c r="D1" s="224">
        <v>41913</v>
      </c>
      <c r="E1" s="224">
        <v>41944</v>
      </c>
      <c r="F1" s="224">
        <v>41974</v>
      </c>
      <c r="G1" s="224">
        <v>42005</v>
      </c>
      <c r="H1" s="224">
        <v>42036</v>
      </c>
      <c r="I1" s="224">
        <v>42064</v>
      </c>
      <c r="J1" s="224">
        <v>42095</v>
      </c>
      <c r="K1" s="224">
        <v>42125</v>
      </c>
      <c r="L1" s="224">
        <v>42156</v>
      </c>
      <c r="M1" s="225">
        <v>42186</v>
      </c>
    </row>
    <row r="2" spans="1:21" s="148" customFormat="1" x14ac:dyDescent="0.2">
      <c r="A2" s="226" t="s">
        <v>40</v>
      </c>
      <c r="B2" s="130">
        <v>31</v>
      </c>
      <c r="C2" s="130">
        <v>30</v>
      </c>
      <c r="D2" s="130">
        <v>31</v>
      </c>
      <c r="E2" s="130">
        <v>30</v>
      </c>
      <c r="F2" s="130">
        <v>31</v>
      </c>
      <c r="G2" s="130">
        <v>31</v>
      </c>
      <c r="H2" s="130">
        <v>28</v>
      </c>
      <c r="I2" s="130">
        <v>31</v>
      </c>
      <c r="J2" s="130">
        <v>30</v>
      </c>
      <c r="K2" s="130">
        <v>31</v>
      </c>
      <c r="L2" s="130">
        <v>30</v>
      </c>
      <c r="M2" s="227">
        <v>31</v>
      </c>
    </row>
    <row r="3" spans="1:21" s="148" customFormat="1" x14ac:dyDescent="0.2">
      <c r="A3" s="240" t="s">
        <v>41</v>
      </c>
      <c r="B3" s="241">
        <f>B2-B5-B4-B7</f>
        <v>10</v>
      </c>
      <c r="C3" s="241">
        <f t="shared" ref="C3:M3" si="0">C2-C5-C4-C7</f>
        <v>8</v>
      </c>
      <c r="D3" s="241">
        <f t="shared" si="0"/>
        <v>8</v>
      </c>
      <c r="E3" s="241">
        <f t="shared" si="0"/>
        <v>10</v>
      </c>
      <c r="F3" s="241">
        <f t="shared" si="0"/>
        <v>8</v>
      </c>
      <c r="G3" s="241">
        <f t="shared" si="0"/>
        <v>9</v>
      </c>
      <c r="H3" s="241">
        <f t="shared" si="0"/>
        <v>8</v>
      </c>
      <c r="I3" s="241">
        <f t="shared" si="0"/>
        <v>9</v>
      </c>
      <c r="J3" s="241">
        <f t="shared" si="0"/>
        <v>8</v>
      </c>
      <c r="K3" s="241">
        <f t="shared" si="0"/>
        <v>10</v>
      </c>
      <c r="L3" s="241">
        <f t="shared" si="0"/>
        <v>8</v>
      </c>
      <c r="M3" s="242">
        <f t="shared" si="0"/>
        <v>8</v>
      </c>
    </row>
    <row r="4" spans="1:21" s="148" customFormat="1" x14ac:dyDescent="0.2">
      <c r="A4" s="240" t="s">
        <v>42</v>
      </c>
      <c r="B4" s="241">
        <v>0</v>
      </c>
      <c r="C4" s="241">
        <v>0</v>
      </c>
      <c r="D4" s="241">
        <v>0</v>
      </c>
      <c r="E4" s="241">
        <v>0</v>
      </c>
      <c r="F4" s="241">
        <v>2</v>
      </c>
      <c r="G4" s="241">
        <v>1</v>
      </c>
      <c r="H4" s="241">
        <v>0</v>
      </c>
      <c r="I4" s="241">
        <v>0</v>
      </c>
      <c r="J4" s="241">
        <v>3</v>
      </c>
      <c r="K4" s="241">
        <v>3</v>
      </c>
      <c r="L4" s="241"/>
      <c r="M4" s="242">
        <v>0</v>
      </c>
    </row>
    <row r="5" spans="1:21" s="148" customFormat="1" x14ac:dyDescent="0.2">
      <c r="A5" s="226" t="s">
        <v>43</v>
      </c>
      <c r="B5" s="130">
        <v>21</v>
      </c>
      <c r="C5" s="130">
        <v>22</v>
      </c>
      <c r="D5" s="130">
        <v>18</v>
      </c>
      <c r="E5" s="130">
        <v>20</v>
      </c>
      <c r="F5" s="130">
        <v>21</v>
      </c>
      <c r="G5" s="130">
        <v>21</v>
      </c>
      <c r="H5" s="130">
        <v>20</v>
      </c>
      <c r="I5" s="130">
        <v>22</v>
      </c>
      <c r="J5" s="130">
        <v>19</v>
      </c>
      <c r="K5" s="130">
        <v>18</v>
      </c>
      <c r="L5" s="130">
        <v>22</v>
      </c>
      <c r="M5" s="227">
        <v>3</v>
      </c>
    </row>
    <row r="6" spans="1:21" s="148" customFormat="1" x14ac:dyDescent="0.2">
      <c r="A6" s="228" t="s">
        <v>44</v>
      </c>
      <c r="B6" s="131">
        <v>15</v>
      </c>
      <c r="C6" s="131">
        <v>22</v>
      </c>
      <c r="D6" s="131">
        <f>D5</f>
        <v>18</v>
      </c>
      <c r="E6" s="131">
        <v>20</v>
      </c>
      <c r="F6" s="131">
        <v>15</v>
      </c>
      <c r="G6" s="131">
        <f>G5</f>
        <v>21</v>
      </c>
      <c r="H6" s="131">
        <v>15</v>
      </c>
      <c r="I6" s="131">
        <v>20</v>
      </c>
      <c r="J6" s="131">
        <v>18</v>
      </c>
      <c r="K6" s="131">
        <v>17</v>
      </c>
      <c r="L6" s="131">
        <v>19</v>
      </c>
      <c r="M6" s="229">
        <v>0</v>
      </c>
    </row>
    <row r="7" spans="1:21" s="148" customFormat="1" x14ac:dyDescent="0.2">
      <c r="A7" s="240" t="s">
        <v>46</v>
      </c>
      <c r="B7" s="241">
        <v>0</v>
      </c>
      <c r="C7" s="241">
        <v>0</v>
      </c>
      <c r="D7" s="241">
        <v>5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2">
        <v>20</v>
      </c>
    </row>
    <row r="8" spans="1:21" s="148" customFormat="1" ht="15.75" thickBot="1" x14ac:dyDescent="0.25">
      <c r="A8" s="230"/>
      <c r="B8" s="2"/>
      <c r="C8" s="2"/>
      <c r="D8" s="2"/>
      <c r="E8" s="2"/>
      <c r="F8" s="2"/>
      <c r="M8" s="234"/>
      <c r="O8" s="221">
        <v>1680</v>
      </c>
      <c r="P8" s="221"/>
      <c r="Q8" s="221"/>
      <c r="R8" s="221"/>
      <c r="S8" s="221"/>
      <c r="T8" s="221"/>
      <c r="U8" s="221"/>
    </row>
    <row r="9" spans="1:21" s="148" customFormat="1" x14ac:dyDescent="0.2">
      <c r="A9" s="233" t="s">
        <v>40</v>
      </c>
      <c r="B9" s="58">
        <f>SUM(B2:M2)</f>
        <v>365</v>
      </c>
      <c r="C9" s="2"/>
      <c r="D9" s="59">
        <v>1924</v>
      </c>
      <c r="E9" s="59">
        <f>D9</f>
        <v>1924</v>
      </c>
      <c r="F9" s="2"/>
      <c r="G9" s="238" t="s">
        <v>154</v>
      </c>
      <c r="H9" s="231"/>
      <c r="I9" s="231"/>
      <c r="J9" s="231"/>
      <c r="K9" s="231"/>
      <c r="L9" s="231"/>
      <c r="M9" s="232"/>
      <c r="O9" s="221">
        <v>31</v>
      </c>
      <c r="P9" s="221"/>
      <c r="Q9" s="221"/>
      <c r="R9" s="221"/>
      <c r="S9" s="222"/>
      <c r="T9" s="222"/>
      <c r="U9" s="223"/>
    </row>
    <row r="10" spans="1:21" s="148" customFormat="1" x14ac:dyDescent="0.2">
      <c r="A10" s="243" t="s">
        <v>41</v>
      </c>
      <c r="B10" s="244">
        <f>SUM(B3:M3)</f>
        <v>104</v>
      </c>
      <c r="C10" s="2"/>
      <c r="D10" s="60"/>
      <c r="E10" s="60"/>
      <c r="F10" s="2"/>
      <c r="G10" s="238" t="s">
        <v>155</v>
      </c>
      <c r="H10" s="231"/>
      <c r="I10" s="231"/>
      <c r="J10" s="231"/>
      <c r="K10" s="231"/>
      <c r="L10" s="231"/>
      <c r="M10" s="232"/>
      <c r="O10" s="221"/>
      <c r="P10" s="221"/>
      <c r="Q10" s="221"/>
      <c r="R10" s="221"/>
      <c r="S10" s="222"/>
      <c r="T10" s="222"/>
      <c r="U10" s="221"/>
    </row>
    <row r="11" spans="1:21" s="148" customFormat="1" x14ac:dyDescent="0.2">
      <c r="A11" s="243" t="s">
        <v>42</v>
      </c>
      <c r="B11" s="244">
        <f>SUM(B4:M4)</f>
        <v>9</v>
      </c>
      <c r="C11" s="2">
        <v>7.4</v>
      </c>
      <c r="D11" s="60">
        <f>B11*C11</f>
        <v>66.600000000000009</v>
      </c>
      <c r="E11" s="60">
        <f>D11</f>
        <v>66.600000000000009</v>
      </c>
      <c r="F11" s="2"/>
      <c r="G11" s="2"/>
      <c r="H11" s="2"/>
      <c r="I11" s="2"/>
      <c r="J11" s="2"/>
      <c r="K11" s="2"/>
      <c r="L11" s="2"/>
      <c r="M11" s="234"/>
      <c r="O11" s="221"/>
      <c r="P11" s="221"/>
      <c r="Q11" s="221"/>
      <c r="R11" s="221"/>
      <c r="S11" s="222"/>
      <c r="T11" s="221"/>
      <c r="U11" s="221"/>
    </row>
    <row r="12" spans="1:21" s="148" customFormat="1" x14ac:dyDescent="0.2">
      <c r="A12" s="233" t="s">
        <v>43</v>
      </c>
      <c r="B12" s="103">
        <f>SUM(B5:M5)-1</f>
        <v>226</v>
      </c>
      <c r="C12" s="2"/>
      <c r="D12" s="60"/>
      <c r="E12" s="60"/>
      <c r="F12" s="2"/>
      <c r="G12" s="2"/>
      <c r="H12" s="2"/>
      <c r="I12" s="2"/>
      <c r="J12" s="2"/>
      <c r="K12" s="2"/>
      <c r="L12" s="2"/>
      <c r="M12" s="234"/>
      <c r="O12" s="221"/>
      <c r="P12" s="221"/>
      <c r="Q12" s="221"/>
      <c r="R12" s="221"/>
      <c r="S12" s="221"/>
      <c r="T12" s="222"/>
      <c r="U12" s="221"/>
    </row>
    <row r="13" spans="1:21" s="148" customFormat="1" x14ac:dyDescent="0.2">
      <c r="A13" s="243" t="s">
        <v>46</v>
      </c>
      <c r="B13" s="244">
        <f>SUM(B7:M7)</f>
        <v>25</v>
      </c>
      <c r="C13" s="2">
        <v>7.4</v>
      </c>
      <c r="D13" s="60">
        <f>B13*C13</f>
        <v>185</v>
      </c>
      <c r="E13" s="60">
        <f>D13</f>
        <v>185</v>
      </c>
      <c r="F13" s="2"/>
      <c r="G13" s="2"/>
      <c r="H13" s="2"/>
      <c r="I13" s="2"/>
      <c r="J13" s="2"/>
      <c r="K13" s="2"/>
      <c r="L13" s="2"/>
      <c r="M13" s="234"/>
    </row>
    <row r="14" spans="1:21" s="148" customFormat="1" x14ac:dyDescent="0.2">
      <c r="A14" s="243" t="s">
        <v>47</v>
      </c>
      <c r="B14" s="244">
        <v>5</v>
      </c>
      <c r="C14" s="2">
        <v>7.4</v>
      </c>
      <c r="D14" s="60">
        <f>B14*C14</f>
        <v>37</v>
      </c>
      <c r="E14" s="60"/>
      <c r="F14" s="2"/>
      <c r="G14" s="2"/>
      <c r="H14" s="2"/>
      <c r="I14" s="2"/>
      <c r="J14" s="2"/>
      <c r="K14" s="2"/>
      <c r="L14" s="2"/>
      <c r="M14" s="234"/>
    </row>
    <row r="15" spans="1:21" s="148" customFormat="1" ht="16.5" thickBot="1" x14ac:dyDescent="0.3">
      <c r="A15" s="235" t="s">
        <v>44</v>
      </c>
      <c r="B15" s="236">
        <f>SUM(B6:M6)</f>
        <v>200</v>
      </c>
      <c r="C15" s="209"/>
      <c r="D15" s="61">
        <f>D9-D11-D13-D14</f>
        <v>1635.4</v>
      </c>
      <c r="E15" s="61">
        <f>E9-E11-E13-E14</f>
        <v>1672.4</v>
      </c>
      <c r="F15" s="209"/>
      <c r="G15" s="209"/>
      <c r="H15" s="209"/>
      <c r="I15" s="209"/>
      <c r="J15" s="209"/>
      <c r="K15" s="209"/>
      <c r="L15" s="209"/>
      <c r="M15" s="237"/>
    </row>
    <row r="16" spans="1:21" s="148" customFormat="1" x14ac:dyDescent="0.2"/>
    <row r="17" spans="1:14" s="146" customFormat="1" ht="15.75" x14ac:dyDescent="0.25">
      <c r="A17" s="289" t="s">
        <v>92</v>
      </c>
      <c r="B17" s="290">
        <v>41487</v>
      </c>
      <c r="C17" s="290">
        <v>41518</v>
      </c>
      <c r="D17" s="290">
        <v>41548</v>
      </c>
      <c r="E17" s="290">
        <v>41579</v>
      </c>
      <c r="F17" s="290">
        <v>41609</v>
      </c>
      <c r="G17" s="290">
        <v>41640</v>
      </c>
      <c r="H17" s="290">
        <v>41671</v>
      </c>
      <c r="I17" s="290">
        <v>41699</v>
      </c>
      <c r="J17" s="290">
        <v>41730</v>
      </c>
      <c r="K17" s="290">
        <v>41760</v>
      </c>
      <c r="L17" s="290">
        <v>41791</v>
      </c>
      <c r="M17" s="290">
        <v>41821</v>
      </c>
      <c r="N17" s="110"/>
    </row>
    <row r="18" spans="1:14" s="146" customFormat="1" x14ac:dyDescent="0.2">
      <c r="A18" s="291" t="s">
        <v>40</v>
      </c>
      <c r="B18" s="291">
        <v>31</v>
      </c>
      <c r="C18" s="291">
        <v>30</v>
      </c>
      <c r="D18" s="291">
        <v>31</v>
      </c>
      <c r="E18" s="291">
        <v>30</v>
      </c>
      <c r="F18" s="291">
        <v>31</v>
      </c>
      <c r="G18" s="291">
        <v>31</v>
      </c>
      <c r="H18" s="291">
        <v>28</v>
      </c>
      <c r="I18" s="291">
        <v>31</v>
      </c>
      <c r="J18" s="291">
        <v>30</v>
      </c>
      <c r="K18" s="291">
        <v>31</v>
      </c>
      <c r="L18" s="291">
        <v>30</v>
      </c>
      <c r="M18" s="291">
        <v>31</v>
      </c>
      <c r="N18" s="110"/>
    </row>
    <row r="19" spans="1:14" s="146" customFormat="1" x14ac:dyDescent="0.2">
      <c r="A19" s="291" t="s">
        <v>41</v>
      </c>
      <c r="B19" s="291">
        <v>9</v>
      </c>
      <c r="C19" s="291">
        <v>9</v>
      </c>
      <c r="D19" s="291">
        <v>8</v>
      </c>
      <c r="E19" s="291">
        <v>9</v>
      </c>
      <c r="F19" s="291">
        <v>9</v>
      </c>
      <c r="G19" s="291">
        <v>8</v>
      </c>
      <c r="H19" s="291">
        <v>8</v>
      </c>
      <c r="I19" s="291">
        <v>10</v>
      </c>
      <c r="J19" s="291">
        <v>8</v>
      </c>
      <c r="K19" s="291">
        <v>9</v>
      </c>
      <c r="L19" s="291">
        <v>9</v>
      </c>
      <c r="M19" s="291">
        <v>8</v>
      </c>
      <c r="N19" s="110"/>
    </row>
    <row r="20" spans="1:14" s="146" customFormat="1" x14ac:dyDescent="0.2">
      <c r="A20" s="291" t="s">
        <v>42</v>
      </c>
      <c r="B20" s="291">
        <v>0</v>
      </c>
      <c r="C20" s="291">
        <v>0</v>
      </c>
      <c r="D20" s="291">
        <v>0</v>
      </c>
      <c r="E20" s="291">
        <v>0</v>
      </c>
      <c r="F20" s="291">
        <v>2</v>
      </c>
      <c r="G20" s="291">
        <v>1</v>
      </c>
      <c r="H20" s="291">
        <v>0</v>
      </c>
      <c r="I20" s="291">
        <v>0</v>
      </c>
      <c r="J20" s="291">
        <v>3</v>
      </c>
      <c r="K20" s="291">
        <v>2</v>
      </c>
      <c r="L20" s="291">
        <v>1</v>
      </c>
      <c r="M20" s="291">
        <v>0</v>
      </c>
      <c r="N20" s="110"/>
    </row>
    <row r="21" spans="1:14" s="146" customFormat="1" x14ac:dyDescent="0.2">
      <c r="A21" s="291" t="s">
        <v>43</v>
      </c>
      <c r="B21" s="291">
        <f t="shared" ref="B21:M21" si="1">B18-B19-B20-B23</f>
        <v>22</v>
      </c>
      <c r="C21" s="291">
        <f t="shared" si="1"/>
        <v>21</v>
      </c>
      <c r="D21" s="291">
        <f t="shared" si="1"/>
        <v>18</v>
      </c>
      <c r="E21" s="291">
        <f t="shared" si="1"/>
        <v>21</v>
      </c>
      <c r="F21" s="291">
        <f t="shared" si="1"/>
        <v>20</v>
      </c>
      <c r="G21" s="291">
        <f t="shared" si="1"/>
        <v>22</v>
      </c>
      <c r="H21" s="291">
        <f t="shared" si="1"/>
        <v>20</v>
      </c>
      <c r="I21" s="291">
        <f t="shared" si="1"/>
        <v>21</v>
      </c>
      <c r="J21" s="291">
        <f t="shared" si="1"/>
        <v>19</v>
      </c>
      <c r="K21" s="291">
        <f t="shared" si="1"/>
        <v>20</v>
      </c>
      <c r="L21" s="291">
        <f t="shared" si="1"/>
        <v>20</v>
      </c>
      <c r="M21" s="291">
        <f t="shared" si="1"/>
        <v>3</v>
      </c>
      <c r="N21" s="110"/>
    </row>
    <row r="22" spans="1:14" s="146" customFormat="1" x14ac:dyDescent="0.2">
      <c r="A22" s="292" t="s">
        <v>44</v>
      </c>
      <c r="B22" s="292">
        <v>15</v>
      </c>
      <c r="C22" s="292">
        <f>C21</f>
        <v>21</v>
      </c>
      <c r="D22" s="292">
        <f>D21</f>
        <v>18</v>
      </c>
      <c r="E22" s="292">
        <v>22</v>
      </c>
      <c r="F22" s="292">
        <v>15</v>
      </c>
      <c r="G22" s="292">
        <f>G21</f>
        <v>22</v>
      </c>
      <c r="H22" s="292">
        <v>15</v>
      </c>
      <c r="I22" s="292">
        <v>16</v>
      </c>
      <c r="J22" s="292">
        <f>J21</f>
        <v>19</v>
      </c>
      <c r="K22" s="292">
        <v>18</v>
      </c>
      <c r="L22" s="292">
        <v>19</v>
      </c>
      <c r="M22" s="292">
        <v>0</v>
      </c>
      <c r="N22" s="110"/>
    </row>
    <row r="23" spans="1:14" s="146" customFormat="1" x14ac:dyDescent="0.2">
      <c r="A23" s="291" t="s">
        <v>46</v>
      </c>
      <c r="B23" s="291">
        <v>0</v>
      </c>
      <c r="C23" s="291">
        <v>0</v>
      </c>
      <c r="D23" s="291">
        <v>5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20</v>
      </c>
      <c r="N23" s="110"/>
    </row>
    <row r="24" spans="1:14" s="146" customFormat="1" ht="15.75" thickBot="1" x14ac:dyDescent="0.25">
      <c r="A24" s="110"/>
      <c r="B24" s="110"/>
      <c r="C24" s="110"/>
      <c r="D24" s="110"/>
      <c r="E24" s="110"/>
      <c r="F24" s="110"/>
      <c r="G24" s="293" t="s">
        <v>88</v>
      </c>
      <c r="H24" s="293"/>
      <c r="I24" s="293"/>
      <c r="J24" s="293"/>
      <c r="K24" s="293"/>
      <c r="L24" s="293"/>
      <c r="M24" s="293"/>
      <c r="N24" s="110"/>
    </row>
    <row r="25" spans="1:14" s="146" customFormat="1" x14ac:dyDescent="0.2">
      <c r="A25" s="294" t="s">
        <v>40</v>
      </c>
      <c r="B25" s="294">
        <f>SUM(B18:M18)</f>
        <v>365</v>
      </c>
      <c r="C25" s="110"/>
      <c r="D25" s="295">
        <v>1924</v>
      </c>
      <c r="E25" s="295">
        <f>D25</f>
        <v>1924</v>
      </c>
      <c r="F25" s="110"/>
      <c r="G25" s="293" t="s">
        <v>89</v>
      </c>
      <c r="H25" s="293"/>
      <c r="I25" s="293"/>
      <c r="J25" s="293"/>
      <c r="K25" s="293"/>
      <c r="L25" s="293"/>
      <c r="M25" s="293"/>
      <c r="N25" s="110"/>
    </row>
    <row r="26" spans="1:14" s="146" customFormat="1" x14ac:dyDescent="0.2">
      <c r="A26" s="294" t="s">
        <v>41</v>
      </c>
      <c r="B26" s="294">
        <f>SUM(B19:M19)</f>
        <v>104</v>
      </c>
      <c r="C26" s="110"/>
      <c r="D26" s="296"/>
      <c r="E26" s="296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s="146" customFormat="1" x14ac:dyDescent="0.2">
      <c r="A27" s="294" t="s">
        <v>42</v>
      </c>
      <c r="B27" s="294">
        <f>SUM(B20:M20)</f>
        <v>9</v>
      </c>
      <c r="C27" s="110">
        <v>7.4</v>
      </c>
      <c r="D27" s="296">
        <f>B27*C27</f>
        <v>66.600000000000009</v>
      </c>
      <c r="E27" s="296">
        <f>D27</f>
        <v>66.600000000000009</v>
      </c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14" s="146" customFormat="1" x14ac:dyDescent="0.2">
      <c r="A28" s="294" t="s">
        <v>43</v>
      </c>
      <c r="B28" s="297">
        <f>SUM(B21:M21)-1</f>
        <v>226</v>
      </c>
      <c r="C28" s="110"/>
      <c r="D28" s="296"/>
      <c r="E28" s="296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s="146" customFormat="1" x14ac:dyDescent="0.2">
      <c r="A29" s="294" t="s">
        <v>46</v>
      </c>
      <c r="B29" s="294">
        <f>SUM(B23:M23)</f>
        <v>25</v>
      </c>
      <c r="C29" s="110">
        <v>7.4</v>
      </c>
      <c r="D29" s="296">
        <f>B29*C29</f>
        <v>185</v>
      </c>
      <c r="E29" s="296">
        <f>D29</f>
        <v>185</v>
      </c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s="146" customFormat="1" x14ac:dyDescent="0.2">
      <c r="A30" s="294" t="s">
        <v>47</v>
      </c>
      <c r="B30" s="294">
        <v>5</v>
      </c>
      <c r="C30" s="110">
        <v>7.4</v>
      </c>
      <c r="D30" s="296">
        <f>B30*C30</f>
        <v>37</v>
      </c>
      <c r="E30" s="296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s="146" customFormat="1" ht="16.5" thickBot="1" x14ac:dyDescent="0.3">
      <c r="A31" s="294" t="s">
        <v>44</v>
      </c>
      <c r="B31" s="294">
        <f>SUM(B22:M22)</f>
        <v>200</v>
      </c>
      <c r="C31" s="110"/>
      <c r="D31" s="298">
        <f>D25-D27-D29-D30</f>
        <v>1635.4</v>
      </c>
      <c r="E31" s="298">
        <f>E25-E27-E29-E30</f>
        <v>1672.4</v>
      </c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s="146" customFormat="1" ht="15.75" thickBo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s="288" customFormat="1" ht="15.75" thickBot="1" x14ac:dyDescent="0.25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  <c r="N33" s="110"/>
    </row>
    <row r="34" spans="1:14" s="146" customForma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110"/>
    </row>
    <row r="35" spans="1:14" s="133" customFormat="1" ht="15.75" x14ac:dyDescent="0.25">
      <c r="A35" s="289" t="s">
        <v>90</v>
      </c>
      <c r="B35" s="290">
        <v>41122</v>
      </c>
      <c r="C35" s="290">
        <v>41153</v>
      </c>
      <c r="D35" s="290">
        <v>41183</v>
      </c>
      <c r="E35" s="290">
        <v>41214</v>
      </c>
      <c r="F35" s="290">
        <v>41244</v>
      </c>
      <c r="G35" s="290">
        <v>41275</v>
      </c>
      <c r="H35" s="290">
        <v>41306</v>
      </c>
      <c r="I35" s="290">
        <v>41334</v>
      </c>
      <c r="J35" s="290">
        <v>41365</v>
      </c>
      <c r="K35" s="290">
        <v>41395</v>
      </c>
      <c r="L35" s="290">
        <v>41426</v>
      </c>
      <c r="M35" s="290">
        <v>41456</v>
      </c>
      <c r="N35" s="110"/>
    </row>
    <row r="36" spans="1:14" s="133" customFormat="1" x14ac:dyDescent="0.2">
      <c r="A36" s="291" t="s">
        <v>40</v>
      </c>
      <c r="B36" s="291">
        <v>31</v>
      </c>
      <c r="C36" s="291">
        <v>30</v>
      </c>
      <c r="D36" s="291">
        <v>31</v>
      </c>
      <c r="E36" s="291">
        <v>30</v>
      </c>
      <c r="F36" s="291">
        <v>31</v>
      </c>
      <c r="G36" s="291">
        <v>31</v>
      </c>
      <c r="H36" s="291">
        <v>28</v>
      </c>
      <c r="I36" s="291">
        <v>31</v>
      </c>
      <c r="J36" s="291">
        <v>30</v>
      </c>
      <c r="K36" s="291">
        <v>31</v>
      </c>
      <c r="L36" s="291">
        <v>30</v>
      </c>
      <c r="M36" s="291">
        <v>31</v>
      </c>
      <c r="N36" s="110"/>
    </row>
    <row r="37" spans="1:14" s="133" customFormat="1" x14ac:dyDescent="0.2">
      <c r="A37" s="291" t="s">
        <v>41</v>
      </c>
      <c r="B37" s="291">
        <v>8</v>
      </c>
      <c r="C37" s="291">
        <v>10</v>
      </c>
      <c r="D37" s="291">
        <v>8</v>
      </c>
      <c r="E37" s="291">
        <v>8</v>
      </c>
      <c r="F37" s="291">
        <v>10</v>
      </c>
      <c r="G37" s="291">
        <v>8</v>
      </c>
      <c r="H37" s="291">
        <v>8</v>
      </c>
      <c r="I37" s="291">
        <v>10</v>
      </c>
      <c r="J37" s="291">
        <v>8</v>
      </c>
      <c r="K37" s="291">
        <v>8</v>
      </c>
      <c r="L37" s="291">
        <v>10</v>
      </c>
      <c r="M37" s="291">
        <v>10</v>
      </c>
      <c r="N37" s="110"/>
    </row>
    <row r="38" spans="1:14" s="133" customFormat="1" x14ac:dyDescent="0.2">
      <c r="A38" s="291" t="s">
        <v>42</v>
      </c>
      <c r="B38" s="291">
        <v>0</v>
      </c>
      <c r="C38" s="291">
        <v>0</v>
      </c>
      <c r="D38" s="291">
        <v>0</v>
      </c>
      <c r="E38" s="291">
        <v>0</v>
      </c>
      <c r="F38" s="291">
        <v>2</v>
      </c>
      <c r="G38" s="291">
        <v>1</v>
      </c>
      <c r="H38" s="291">
        <v>0</v>
      </c>
      <c r="I38" s="291">
        <v>2</v>
      </c>
      <c r="J38" s="291">
        <v>2</v>
      </c>
      <c r="K38" s="291">
        <v>2</v>
      </c>
      <c r="L38" s="291">
        <v>0</v>
      </c>
      <c r="M38" s="291">
        <v>0</v>
      </c>
      <c r="N38" s="110"/>
    </row>
    <row r="39" spans="1:14" s="133" customFormat="1" x14ac:dyDescent="0.2">
      <c r="A39" s="291" t="s">
        <v>43</v>
      </c>
      <c r="B39" s="291">
        <f t="shared" ref="B39:M39" si="2">B36-B37-B38-B41</f>
        <v>23</v>
      </c>
      <c r="C39" s="291">
        <f t="shared" si="2"/>
        <v>20</v>
      </c>
      <c r="D39" s="291">
        <f t="shared" si="2"/>
        <v>18</v>
      </c>
      <c r="E39" s="291">
        <f t="shared" si="2"/>
        <v>22</v>
      </c>
      <c r="F39" s="291">
        <f t="shared" si="2"/>
        <v>19</v>
      </c>
      <c r="G39" s="291">
        <f t="shared" si="2"/>
        <v>22</v>
      </c>
      <c r="H39" s="291">
        <f t="shared" si="2"/>
        <v>20</v>
      </c>
      <c r="I39" s="291">
        <f t="shared" si="2"/>
        <v>19</v>
      </c>
      <c r="J39" s="291">
        <f t="shared" si="2"/>
        <v>20</v>
      </c>
      <c r="K39" s="291">
        <f t="shared" si="2"/>
        <v>21</v>
      </c>
      <c r="L39" s="291">
        <f t="shared" si="2"/>
        <v>20</v>
      </c>
      <c r="M39" s="291">
        <f t="shared" si="2"/>
        <v>1</v>
      </c>
      <c r="N39" s="110"/>
    </row>
    <row r="40" spans="1:14" s="133" customFormat="1" x14ac:dyDescent="0.2">
      <c r="A40" s="292" t="s">
        <v>44</v>
      </c>
      <c r="B40" s="292">
        <v>15</v>
      </c>
      <c r="C40" s="292">
        <f>C39</f>
        <v>20</v>
      </c>
      <c r="D40" s="292">
        <f>D39</f>
        <v>18</v>
      </c>
      <c r="E40" s="292">
        <v>22</v>
      </c>
      <c r="F40" s="292">
        <v>15</v>
      </c>
      <c r="G40" s="292">
        <f>G39</f>
        <v>22</v>
      </c>
      <c r="H40" s="292">
        <v>15</v>
      </c>
      <c r="I40" s="292">
        <v>16</v>
      </c>
      <c r="J40" s="292">
        <f>J39</f>
        <v>20</v>
      </c>
      <c r="K40" s="292">
        <v>18</v>
      </c>
      <c r="L40" s="292">
        <v>19</v>
      </c>
      <c r="M40" s="292">
        <v>0</v>
      </c>
      <c r="N40" s="110"/>
    </row>
    <row r="41" spans="1:14" s="133" customFormat="1" x14ac:dyDescent="0.2">
      <c r="A41" s="291" t="s">
        <v>46</v>
      </c>
      <c r="B41" s="291">
        <v>0</v>
      </c>
      <c r="C41" s="291">
        <v>0</v>
      </c>
      <c r="D41" s="291">
        <v>5</v>
      </c>
      <c r="E41" s="291">
        <v>0</v>
      </c>
      <c r="F41" s="291">
        <v>0</v>
      </c>
      <c r="G41" s="291">
        <v>0</v>
      </c>
      <c r="H41" s="291">
        <v>0</v>
      </c>
      <c r="I41" s="291">
        <v>0</v>
      </c>
      <c r="J41" s="291">
        <v>0</v>
      </c>
      <c r="K41" s="291">
        <v>0</v>
      </c>
      <c r="L41" s="291">
        <v>0</v>
      </c>
      <c r="M41" s="291">
        <v>20</v>
      </c>
      <c r="N41" s="110"/>
    </row>
    <row r="42" spans="1:14" s="133" customFormat="1" ht="15.75" thickBot="1" x14ac:dyDescent="0.25">
      <c r="A42" s="110"/>
      <c r="B42" s="110"/>
      <c r="C42" s="110"/>
      <c r="D42" s="110"/>
      <c r="E42" s="110"/>
      <c r="F42" s="110"/>
      <c r="G42" s="293" t="s">
        <v>88</v>
      </c>
      <c r="H42" s="293"/>
      <c r="I42" s="293"/>
      <c r="J42" s="293"/>
      <c r="K42" s="293"/>
      <c r="L42" s="293"/>
      <c r="M42" s="293"/>
      <c r="N42" s="110"/>
    </row>
    <row r="43" spans="1:14" s="133" customFormat="1" x14ac:dyDescent="0.2">
      <c r="A43" s="294" t="s">
        <v>40</v>
      </c>
      <c r="B43" s="294">
        <f>SUM(B36:M36)</f>
        <v>365</v>
      </c>
      <c r="C43" s="110"/>
      <c r="D43" s="295">
        <v>1924</v>
      </c>
      <c r="E43" s="295">
        <f>D43</f>
        <v>1924</v>
      </c>
      <c r="F43" s="110"/>
      <c r="G43" s="293" t="s">
        <v>89</v>
      </c>
      <c r="H43" s="293"/>
      <c r="I43" s="293"/>
      <c r="J43" s="293"/>
      <c r="K43" s="293"/>
      <c r="L43" s="293"/>
      <c r="M43" s="293"/>
      <c r="N43" s="110"/>
    </row>
    <row r="44" spans="1:14" s="133" customFormat="1" x14ac:dyDescent="0.2">
      <c r="A44" s="294" t="s">
        <v>41</v>
      </c>
      <c r="B44" s="294">
        <f>SUM(B37:M37)</f>
        <v>106</v>
      </c>
      <c r="C44" s="110"/>
      <c r="D44" s="296"/>
      <c r="E44" s="296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s="133" customFormat="1" x14ac:dyDescent="0.2">
      <c r="A45" s="294" t="s">
        <v>42</v>
      </c>
      <c r="B45" s="294">
        <f>SUM(B38:M38)</f>
        <v>9</v>
      </c>
      <c r="C45" s="110">
        <v>7.4</v>
      </c>
      <c r="D45" s="296">
        <f>B45*C45</f>
        <v>66.600000000000009</v>
      </c>
      <c r="E45" s="296">
        <f>D45</f>
        <v>66.600000000000009</v>
      </c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s="133" customFormat="1" x14ac:dyDescent="0.2">
      <c r="A46" s="294" t="s">
        <v>43</v>
      </c>
      <c r="B46" s="297">
        <f>SUM(B39:M39)-1</f>
        <v>224</v>
      </c>
      <c r="C46" s="110"/>
      <c r="D46" s="296"/>
      <c r="E46" s="296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s="133" customFormat="1" x14ac:dyDescent="0.2">
      <c r="A47" s="294" t="s">
        <v>46</v>
      </c>
      <c r="B47" s="294">
        <f>SUM(B41:M41)</f>
        <v>25</v>
      </c>
      <c r="C47" s="110">
        <v>7.4</v>
      </c>
      <c r="D47" s="296">
        <f>B47*C47</f>
        <v>185</v>
      </c>
      <c r="E47" s="296">
        <f>D47</f>
        <v>185</v>
      </c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s="133" customFormat="1" x14ac:dyDescent="0.2">
      <c r="A48" s="294" t="s">
        <v>47</v>
      </c>
      <c r="B48" s="294">
        <v>5</v>
      </c>
      <c r="C48" s="110">
        <v>7.4</v>
      </c>
      <c r="D48" s="296">
        <f>B48*C48</f>
        <v>37</v>
      </c>
      <c r="E48" s="296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s="133" customFormat="1" ht="16.5" thickBot="1" x14ac:dyDescent="0.3">
      <c r="A49" s="294" t="s">
        <v>44</v>
      </c>
      <c r="B49" s="294">
        <f>SUM(B40:M40)</f>
        <v>200</v>
      </c>
      <c r="C49" s="110"/>
      <c r="D49" s="298">
        <f>D43-D45-D47-D48</f>
        <v>1635.4</v>
      </c>
      <c r="E49" s="298">
        <f>E43-E45-E47-E48</f>
        <v>1672.4</v>
      </c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s="133" customFormat="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 s="133" customFormat="1" x14ac:dyDescent="0.2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110"/>
    </row>
    <row r="52" spans="1:14" ht="15.75" x14ac:dyDescent="0.25">
      <c r="A52" s="289" t="s">
        <v>91</v>
      </c>
      <c r="B52" s="290">
        <v>40756</v>
      </c>
      <c r="C52" s="290">
        <v>40787</v>
      </c>
      <c r="D52" s="290">
        <v>40817</v>
      </c>
      <c r="E52" s="290">
        <v>40848</v>
      </c>
      <c r="F52" s="290">
        <v>40878</v>
      </c>
      <c r="G52" s="290">
        <v>40909</v>
      </c>
      <c r="H52" s="290">
        <v>40940</v>
      </c>
      <c r="I52" s="290">
        <v>40969</v>
      </c>
      <c r="J52" s="290">
        <v>41000</v>
      </c>
      <c r="K52" s="290">
        <v>41030</v>
      </c>
      <c r="L52" s="290">
        <v>41061</v>
      </c>
      <c r="M52" s="290">
        <v>41091</v>
      </c>
      <c r="N52" s="110"/>
    </row>
    <row r="53" spans="1:14" x14ac:dyDescent="0.2">
      <c r="A53" s="291" t="s">
        <v>40</v>
      </c>
      <c r="B53" s="291">
        <v>31</v>
      </c>
      <c r="C53" s="291">
        <v>30</v>
      </c>
      <c r="D53" s="291">
        <v>31</v>
      </c>
      <c r="E53" s="291">
        <v>30</v>
      </c>
      <c r="F53" s="291">
        <v>31</v>
      </c>
      <c r="G53" s="291">
        <v>31</v>
      </c>
      <c r="H53" s="291">
        <v>29</v>
      </c>
      <c r="I53" s="291">
        <v>31</v>
      </c>
      <c r="J53" s="291">
        <v>30</v>
      </c>
      <c r="K53" s="291">
        <v>31</v>
      </c>
      <c r="L53" s="291">
        <v>30</v>
      </c>
      <c r="M53" s="291">
        <v>31</v>
      </c>
      <c r="N53" s="110"/>
    </row>
    <row r="54" spans="1:14" x14ac:dyDescent="0.2">
      <c r="A54" s="291" t="s">
        <v>41</v>
      </c>
      <c r="B54" s="291">
        <v>8</v>
      </c>
      <c r="C54" s="291">
        <v>8</v>
      </c>
      <c r="D54" s="291">
        <v>10</v>
      </c>
      <c r="E54" s="291">
        <v>8</v>
      </c>
      <c r="F54" s="291">
        <v>9</v>
      </c>
      <c r="G54" s="291">
        <v>9</v>
      </c>
      <c r="H54" s="291">
        <v>8</v>
      </c>
      <c r="I54" s="291">
        <v>9</v>
      </c>
      <c r="J54" s="291">
        <v>9</v>
      </c>
      <c r="K54" s="291">
        <v>8</v>
      </c>
      <c r="L54" s="291">
        <v>9</v>
      </c>
      <c r="M54" s="291">
        <v>10</v>
      </c>
      <c r="N54" s="110"/>
    </row>
    <row r="55" spans="1:14" x14ac:dyDescent="0.2">
      <c r="A55" s="291" t="s">
        <v>42</v>
      </c>
      <c r="B55" s="291">
        <v>0</v>
      </c>
      <c r="C55" s="291">
        <v>0</v>
      </c>
      <c r="D55" s="291">
        <v>0</v>
      </c>
      <c r="E55" s="291">
        <v>0</v>
      </c>
      <c r="F55" s="291">
        <v>1</v>
      </c>
      <c r="G55" s="291">
        <v>0</v>
      </c>
      <c r="H55" s="291">
        <v>0</v>
      </c>
      <c r="I55" s="291">
        <v>0</v>
      </c>
      <c r="J55" s="291">
        <v>3</v>
      </c>
      <c r="K55" s="291">
        <v>3</v>
      </c>
      <c r="L55" s="291">
        <v>0</v>
      </c>
      <c r="M55" s="291">
        <v>0</v>
      </c>
      <c r="N55" s="110"/>
    </row>
    <row r="56" spans="1:14" x14ac:dyDescent="0.2">
      <c r="A56" s="291" t="s">
        <v>43</v>
      </c>
      <c r="B56" s="291">
        <f t="shared" ref="B56:M56" si="3">B53-B54-B55-B58</f>
        <v>23</v>
      </c>
      <c r="C56" s="291">
        <f t="shared" si="3"/>
        <v>22</v>
      </c>
      <c r="D56" s="291">
        <f t="shared" si="3"/>
        <v>16</v>
      </c>
      <c r="E56" s="291">
        <f t="shared" si="3"/>
        <v>22</v>
      </c>
      <c r="F56" s="291">
        <f t="shared" si="3"/>
        <v>21</v>
      </c>
      <c r="G56" s="291">
        <f t="shared" si="3"/>
        <v>22</v>
      </c>
      <c r="H56" s="291">
        <f t="shared" si="3"/>
        <v>21</v>
      </c>
      <c r="I56" s="291">
        <f t="shared" si="3"/>
        <v>22</v>
      </c>
      <c r="J56" s="291">
        <f t="shared" si="3"/>
        <v>18</v>
      </c>
      <c r="K56" s="291">
        <f t="shared" si="3"/>
        <v>20</v>
      </c>
      <c r="L56" s="291">
        <f t="shared" si="3"/>
        <v>21</v>
      </c>
      <c r="M56" s="291">
        <f t="shared" si="3"/>
        <v>1</v>
      </c>
      <c r="N56" s="110"/>
    </row>
    <row r="57" spans="1:14" x14ac:dyDescent="0.2">
      <c r="A57" s="292" t="s">
        <v>44</v>
      </c>
      <c r="B57" s="292">
        <v>16</v>
      </c>
      <c r="C57" s="292">
        <v>22</v>
      </c>
      <c r="D57" s="292">
        <v>16</v>
      </c>
      <c r="E57" s="292">
        <v>22</v>
      </c>
      <c r="F57" s="292">
        <v>13</v>
      </c>
      <c r="G57" s="292">
        <v>22</v>
      </c>
      <c r="H57" s="292">
        <v>16</v>
      </c>
      <c r="I57" s="292">
        <v>22</v>
      </c>
      <c r="J57" s="292">
        <v>15</v>
      </c>
      <c r="K57" s="292">
        <v>17</v>
      </c>
      <c r="L57" s="292">
        <v>19</v>
      </c>
      <c r="M57" s="292">
        <v>0</v>
      </c>
      <c r="N57" s="110"/>
    </row>
    <row r="58" spans="1:14" x14ac:dyDescent="0.2">
      <c r="A58" s="291" t="s">
        <v>46</v>
      </c>
      <c r="B58" s="291">
        <v>0</v>
      </c>
      <c r="C58" s="291">
        <v>0</v>
      </c>
      <c r="D58" s="291">
        <v>5</v>
      </c>
      <c r="E58" s="291">
        <v>0</v>
      </c>
      <c r="F58" s="291">
        <v>0</v>
      </c>
      <c r="G58" s="291">
        <v>0</v>
      </c>
      <c r="H58" s="291">
        <v>0</v>
      </c>
      <c r="I58" s="291">
        <v>0</v>
      </c>
      <c r="J58" s="291">
        <v>0</v>
      </c>
      <c r="K58" s="291">
        <v>0</v>
      </c>
      <c r="L58" s="291">
        <v>0</v>
      </c>
      <c r="M58" s="291">
        <v>20</v>
      </c>
      <c r="N58" s="110"/>
    </row>
    <row r="59" spans="1:14" ht="15.75" thickBot="1" x14ac:dyDescent="0.25">
      <c r="A59" s="110"/>
      <c r="B59" s="110"/>
      <c r="C59" s="110"/>
      <c r="D59" s="110"/>
      <c r="E59" s="110"/>
      <c r="F59" s="110"/>
      <c r="G59" s="293" t="s">
        <v>88</v>
      </c>
      <c r="H59" s="293"/>
      <c r="I59" s="293"/>
      <c r="J59" s="293"/>
      <c r="K59" s="293"/>
      <c r="L59" s="293"/>
      <c r="M59" s="293"/>
      <c r="N59" s="110"/>
    </row>
    <row r="60" spans="1:14" x14ac:dyDescent="0.2">
      <c r="A60" s="294" t="s">
        <v>40</v>
      </c>
      <c r="B60" s="294">
        <f>SUM(B53:M53)</f>
        <v>366</v>
      </c>
      <c r="C60" s="110"/>
      <c r="D60" s="295">
        <v>1924</v>
      </c>
      <c r="E60" s="295">
        <f>D60</f>
        <v>1924</v>
      </c>
      <c r="F60" s="110"/>
      <c r="G60" s="293" t="s">
        <v>89</v>
      </c>
      <c r="H60" s="293"/>
      <c r="I60" s="293"/>
      <c r="J60" s="293"/>
      <c r="K60" s="293"/>
      <c r="L60" s="293"/>
      <c r="M60" s="293"/>
      <c r="N60" s="110"/>
    </row>
    <row r="61" spans="1:14" x14ac:dyDescent="0.2">
      <c r="A61" s="294" t="s">
        <v>41</v>
      </c>
      <c r="B61" s="294">
        <f>SUM(B54:M54)</f>
        <v>105</v>
      </c>
      <c r="C61" s="110"/>
      <c r="D61" s="296"/>
      <c r="E61" s="296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x14ac:dyDescent="0.2">
      <c r="A62" s="294" t="s">
        <v>42</v>
      </c>
      <c r="B62" s="294">
        <f>SUM(B55:M55)</f>
        <v>7</v>
      </c>
      <c r="C62" s="110">
        <v>7.4</v>
      </c>
      <c r="D62" s="296">
        <f>B62*C62</f>
        <v>51.800000000000004</v>
      </c>
      <c r="E62" s="296">
        <f>D62</f>
        <v>51.800000000000004</v>
      </c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x14ac:dyDescent="0.2">
      <c r="A63" s="294" t="s">
        <v>43</v>
      </c>
      <c r="B63" s="297">
        <f>SUM(B56:M56)-1</f>
        <v>228</v>
      </c>
      <c r="C63" s="110"/>
      <c r="D63" s="296"/>
      <c r="E63" s="296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x14ac:dyDescent="0.2">
      <c r="A64" s="294" t="s">
        <v>46</v>
      </c>
      <c r="B64" s="294">
        <f>SUM(B58:M58)</f>
        <v>25</v>
      </c>
      <c r="C64" s="110">
        <v>7.4</v>
      </c>
      <c r="D64" s="296">
        <f>B64*C64</f>
        <v>185</v>
      </c>
      <c r="E64" s="296">
        <f>D64</f>
        <v>185</v>
      </c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x14ac:dyDescent="0.2">
      <c r="A65" s="294" t="s">
        <v>47</v>
      </c>
      <c r="B65" s="294">
        <v>5</v>
      </c>
      <c r="C65" s="110">
        <v>6.8</v>
      </c>
      <c r="D65" s="296">
        <f>B65*C65</f>
        <v>34</v>
      </c>
      <c r="E65" s="296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ht="16.5" thickBot="1" x14ac:dyDescent="0.3">
      <c r="A66" s="294" t="s">
        <v>44</v>
      </c>
      <c r="B66" s="294">
        <f>SUM(B57:M57)</f>
        <v>200</v>
      </c>
      <c r="C66" s="110"/>
      <c r="D66" s="298">
        <f>D60-D62-D64-D65</f>
        <v>1653.2</v>
      </c>
      <c r="E66" s="298">
        <f>E60-E62-E64-E65</f>
        <v>1687.2</v>
      </c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x14ac:dyDescent="0.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  <row r="68" spans="1:14" s="146" customFormat="1" x14ac:dyDescent="0.2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</row>
    <row r="69" spans="1:14" x14ac:dyDescent="0.2">
      <c r="A69" s="110"/>
      <c r="B69" s="300">
        <v>40391</v>
      </c>
      <c r="C69" s="300">
        <v>40422</v>
      </c>
      <c r="D69" s="300">
        <v>40452</v>
      </c>
      <c r="E69" s="300">
        <v>40483</v>
      </c>
      <c r="F69" s="300">
        <v>40513</v>
      </c>
      <c r="G69" s="300">
        <v>40544</v>
      </c>
      <c r="H69" s="300">
        <v>40575</v>
      </c>
      <c r="I69" s="300">
        <v>40603</v>
      </c>
      <c r="J69" s="300">
        <v>40634</v>
      </c>
      <c r="K69" s="300">
        <v>40664</v>
      </c>
      <c r="L69" s="300">
        <v>40695</v>
      </c>
      <c r="M69" s="300">
        <v>40725</v>
      </c>
      <c r="N69" s="110"/>
    </row>
    <row r="70" spans="1:14" x14ac:dyDescent="0.2">
      <c r="A70" s="294" t="s">
        <v>40</v>
      </c>
      <c r="B70" s="294">
        <v>31</v>
      </c>
      <c r="C70" s="294">
        <v>30</v>
      </c>
      <c r="D70" s="294">
        <v>31</v>
      </c>
      <c r="E70" s="294">
        <v>30</v>
      </c>
      <c r="F70" s="294">
        <v>31</v>
      </c>
      <c r="G70" s="294">
        <v>31</v>
      </c>
      <c r="H70" s="294">
        <v>28</v>
      </c>
      <c r="I70" s="294">
        <v>31</v>
      </c>
      <c r="J70" s="294">
        <v>30</v>
      </c>
      <c r="K70" s="294">
        <v>31</v>
      </c>
      <c r="L70" s="294">
        <v>30</v>
      </c>
      <c r="M70" s="294">
        <v>31</v>
      </c>
      <c r="N70" s="110"/>
    </row>
    <row r="71" spans="1:14" x14ac:dyDescent="0.2">
      <c r="A71" s="294" t="s">
        <v>41</v>
      </c>
      <c r="B71" s="294">
        <v>9</v>
      </c>
      <c r="C71" s="294">
        <v>8</v>
      </c>
      <c r="D71" s="294">
        <v>10</v>
      </c>
      <c r="E71" s="294">
        <v>8</v>
      </c>
      <c r="F71" s="294">
        <v>8</v>
      </c>
      <c r="G71" s="294">
        <v>10</v>
      </c>
      <c r="H71" s="294">
        <v>8</v>
      </c>
      <c r="I71" s="294">
        <v>8</v>
      </c>
      <c r="J71" s="294">
        <v>9</v>
      </c>
      <c r="K71" s="294">
        <v>9</v>
      </c>
      <c r="L71" s="294">
        <v>8</v>
      </c>
      <c r="M71" s="294">
        <v>10</v>
      </c>
      <c r="N71" s="110"/>
    </row>
    <row r="72" spans="1:14" x14ac:dyDescent="0.2">
      <c r="A72" s="294" t="s">
        <v>42</v>
      </c>
      <c r="B72" s="294">
        <v>0</v>
      </c>
      <c r="C72" s="294">
        <v>0</v>
      </c>
      <c r="D72" s="294">
        <v>0</v>
      </c>
      <c r="E72" s="294">
        <v>0</v>
      </c>
      <c r="F72" s="294">
        <v>0</v>
      </c>
      <c r="G72" s="294">
        <v>0</v>
      </c>
      <c r="H72" s="294">
        <v>0</v>
      </c>
      <c r="I72" s="294">
        <v>0</v>
      </c>
      <c r="J72" s="294">
        <v>3</v>
      </c>
      <c r="K72" s="294">
        <v>1</v>
      </c>
      <c r="L72" s="294">
        <v>2</v>
      </c>
      <c r="M72" s="294">
        <v>0</v>
      </c>
      <c r="N72" s="110"/>
    </row>
    <row r="73" spans="1:14" x14ac:dyDescent="0.2">
      <c r="A73" s="294" t="s">
        <v>43</v>
      </c>
      <c r="B73" s="294">
        <f t="shared" ref="B73:M73" si="4">B70-B71-B72-B75</f>
        <v>22</v>
      </c>
      <c r="C73" s="294">
        <f t="shared" si="4"/>
        <v>22</v>
      </c>
      <c r="D73" s="294">
        <f t="shared" si="4"/>
        <v>16</v>
      </c>
      <c r="E73" s="294">
        <f t="shared" si="4"/>
        <v>22</v>
      </c>
      <c r="F73" s="294">
        <f t="shared" si="4"/>
        <v>23</v>
      </c>
      <c r="G73" s="294">
        <f t="shared" si="4"/>
        <v>21</v>
      </c>
      <c r="H73" s="294">
        <f t="shared" si="4"/>
        <v>20</v>
      </c>
      <c r="I73" s="294">
        <f t="shared" si="4"/>
        <v>23</v>
      </c>
      <c r="J73" s="294">
        <f t="shared" si="4"/>
        <v>18</v>
      </c>
      <c r="K73" s="294">
        <f t="shared" si="4"/>
        <v>21</v>
      </c>
      <c r="L73" s="294">
        <f t="shared" si="4"/>
        <v>20</v>
      </c>
      <c r="M73" s="294">
        <f t="shared" si="4"/>
        <v>1</v>
      </c>
      <c r="N73" s="110"/>
    </row>
    <row r="74" spans="1:14" x14ac:dyDescent="0.2">
      <c r="A74" s="294" t="s">
        <v>44</v>
      </c>
      <c r="B74" s="294">
        <v>13</v>
      </c>
      <c r="C74" s="294">
        <v>20</v>
      </c>
      <c r="D74" s="294">
        <v>18</v>
      </c>
      <c r="E74" s="294">
        <v>22</v>
      </c>
      <c r="F74" s="294">
        <v>15</v>
      </c>
      <c r="G74" s="294">
        <v>22</v>
      </c>
      <c r="H74" s="294">
        <v>16</v>
      </c>
      <c r="I74" s="294">
        <v>15</v>
      </c>
      <c r="J74" s="294">
        <v>21</v>
      </c>
      <c r="K74" s="294">
        <v>19</v>
      </c>
      <c r="L74" s="294">
        <v>19</v>
      </c>
      <c r="M74" s="294">
        <v>0</v>
      </c>
      <c r="N74" s="110"/>
    </row>
    <row r="75" spans="1:14" x14ac:dyDescent="0.2">
      <c r="A75" s="294" t="s">
        <v>46</v>
      </c>
      <c r="B75" s="294">
        <v>0</v>
      </c>
      <c r="C75" s="294">
        <v>0</v>
      </c>
      <c r="D75" s="294">
        <v>5</v>
      </c>
      <c r="E75" s="294">
        <v>0</v>
      </c>
      <c r="F75" s="294">
        <v>0</v>
      </c>
      <c r="G75" s="294">
        <v>0</v>
      </c>
      <c r="H75" s="294">
        <v>0</v>
      </c>
      <c r="I75" s="294">
        <v>0</v>
      </c>
      <c r="J75" s="294">
        <v>0</v>
      </c>
      <c r="K75" s="294">
        <v>0</v>
      </c>
      <c r="L75" s="294">
        <v>0</v>
      </c>
      <c r="M75" s="294">
        <v>20</v>
      </c>
      <c r="N75" s="110"/>
    </row>
    <row r="76" spans="1:14" ht="15.75" thickBot="1" x14ac:dyDescent="0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  <row r="77" spans="1:14" x14ac:dyDescent="0.2">
      <c r="A77" s="294" t="s">
        <v>40</v>
      </c>
      <c r="B77" s="294">
        <f>SUM(B70:M70)</f>
        <v>365</v>
      </c>
      <c r="C77" s="110"/>
      <c r="D77" s="295">
        <v>1924</v>
      </c>
      <c r="E77" s="295">
        <f>D77</f>
        <v>1924</v>
      </c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4" x14ac:dyDescent="0.2">
      <c r="A78" s="294" t="s">
        <v>41</v>
      </c>
      <c r="B78" s="294">
        <f>SUM(B71:M71)</f>
        <v>105</v>
      </c>
      <c r="C78" s="110"/>
      <c r="D78" s="296">
        <f>C79*B79</f>
        <v>44.400000000000006</v>
      </c>
      <c r="E78" s="296">
        <f>D78</f>
        <v>44.400000000000006</v>
      </c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4" x14ac:dyDescent="0.2">
      <c r="A79" s="294" t="s">
        <v>42</v>
      </c>
      <c r="B79" s="294">
        <f>SUM(B72:M72)</f>
        <v>6</v>
      </c>
      <c r="C79" s="110">
        <v>7.4</v>
      </c>
      <c r="D79" s="296"/>
      <c r="E79" s="296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1:14" x14ac:dyDescent="0.2">
      <c r="A80" s="294" t="s">
        <v>43</v>
      </c>
      <c r="B80" s="297">
        <f>SUM(B73:M73)-1</f>
        <v>228</v>
      </c>
      <c r="C80" s="110"/>
      <c r="D80" s="296"/>
      <c r="E80" s="296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1:14" x14ac:dyDescent="0.2">
      <c r="A81" s="294" t="s">
        <v>44</v>
      </c>
      <c r="B81" s="294">
        <f>SUM(B74:M74)</f>
        <v>200</v>
      </c>
      <c r="C81" s="110"/>
      <c r="D81" s="296">
        <f>C82*B82</f>
        <v>185</v>
      </c>
      <c r="E81" s="296">
        <f>D81</f>
        <v>185</v>
      </c>
      <c r="F81" s="110"/>
      <c r="G81" s="110"/>
      <c r="H81" s="110"/>
      <c r="I81" s="110"/>
      <c r="J81" s="110"/>
      <c r="K81" s="110"/>
      <c r="L81" s="110"/>
      <c r="M81" s="110"/>
      <c r="N81" s="110"/>
    </row>
    <row r="82" spans="1:14" x14ac:dyDescent="0.2">
      <c r="A82" s="294" t="s">
        <v>46</v>
      </c>
      <c r="B82" s="294">
        <f>SUM(B75:M75)</f>
        <v>25</v>
      </c>
      <c r="C82" s="110">
        <f>C79</f>
        <v>7.4</v>
      </c>
      <c r="D82" s="296">
        <f>C83*B83</f>
        <v>37</v>
      </c>
      <c r="E82" s="296"/>
      <c r="F82" s="110"/>
      <c r="G82" s="110"/>
      <c r="H82" s="110"/>
      <c r="I82" s="110"/>
      <c r="J82" s="110"/>
      <c r="K82" s="110"/>
      <c r="L82" s="110"/>
      <c r="M82" s="110"/>
      <c r="N82" s="110"/>
    </row>
    <row r="83" spans="1:14" ht="16.5" thickBot="1" x14ac:dyDescent="0.3">
      <c r="A83" s="294" t="s">
        <v>47</v>
      </c>
      <c r="B83" s="294">
        <v>5</v>
      </c>
      <c r="C83" s="110">
        <f>C82</f>
        <v>7.4</v>
      </c>
      <c r="D83" s="298">
        <f>D77-D78-D81-D82</f>
        <v>1657.6</v>
      </c>
      <c r="E83" s="298">
        <f>E77-E78-E81-E82</f>
        <v>1694.6</v>
      </c>
      <c r="F83" s="110"/>
      <c r="G83" s="110"/>
      <c r="H83" s="110"/>
      <c r="I83" s="110"/>
      <c r="J83" s="110"/>
      <c r="K83" s="110"/>
      <c r="L83" s="110"/>
      <c r="M83" s="110"/>
      <c r="N83" s="110"/>
    </row>
    <row r="84" spans="1:14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x14ac:dyDescent="0.2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</row>
    <row r="86" spans="1:14" x14ac:dyDescent="0.2">
      <c r="A86" s="110"/>
      <c r="B86" s="300">
        <v>40026</v>
      </c>
      <c r="C86" s="300">
        <v>40057</v>
      </c>
      <c r="D86" s="300">
        <v>40087</v>
      </c>
      <c r="E86" s="300">
        <v>40118</v>
      </c>
      <c r="F86" s="300">
        <v>40148</v>
      </c>
      <c r="G86" s="300">
        <v>40179</v>
      </c>
      <c r="H86" s="300">
        <v>40210</v>
      </c>
      <c r="I86" s="300">
        <v>40238</v>
      </c>
      <c r="J86" s="300">
        <v>40269</v>
      </c>
      <c r="K86" s="300">
        <v>40299</v>
      </c>
      <c r="L86" s="300">
        <v>40330</v>
      </c>
      <c r="M86" s="300">
        <v>40360</v>
      </c>
      <c r="N86" s="110"/>
    </row>
    <row r="87" spans="1:14" x14ac:dyDescent="0.2">
      <c r="A87" s="294" t="s">
        <v>40</v>
      </c>
      <c r="B87" s="294">
        <v>31</v>
      </c>
      <c r="C87" s="294">
        <v>30</v>
      </c>
      <c r="D87" s="294">
        <v>31</v>
      </c>
      <c r="E87" s="294">
        <v>30</v>
      </c>
      <c r="F87" s="294">
        <v>31</v>
      </c>
      <c r="G87" s="294">
        <v>31</v>
      </c>
      <c r="H87" s="294">
        <v>28</v>
      </c>
      <c r="I87" s="294">
        <v>31</v>
      </c>
      <c r="J87" s="294">
        <v>30</v>
      </c>
      <c r="K87" s="294">
        <v>31</v>
      </c>
      <c r="L87" s="294">
        <v>30</v>
      </c>
      <c r="M87" s="294">
        <v>31</v>
      </c>
      <c r="N87" s="110"/>
    </row>
    <row r="88" spans="1:14" x14ac:dyDescent="0.2">
      <c r="A88" s="294" t="s">
        <v>41</v>
      </c>
      <c r="B88" s="294">
        <v>10</v>
      </c>
      <c r="C88" s="294">
        <v>8</v>
      </c>
      <c r="D88" s="294">
        <v>9</v>
      </c>
      <c r="E88" s="294">
        <v>9</v>
      </c>
      <c r="F88" s="294">
        <v>8</v>
      </c>
      <c r="G88" s="294">
        <v>10</v>
      </c>
      <c r="H88" s="294">
        <v>8</v>
      </c>
      <c r="I88" s="294">
        <v>8</v>
      </c>
      <c r="J88" s="294">
        <v>8</v>
      </c>
      <c r="K88" s="294">
        <v>10</v>
      </c>
      <c r="L88" s="294">
        <v>8</v>
      </c>
      <c r="M88" s="294">
        <v>9</v>
      </c>
      <c r="N88" s="110"/>
    </row>
    <row r="89" spans="1:14" x14ac:dyDescent="0.2">
      <c r="A89" s="294" t="s">
        <v>42</v>
      </c>
      <c r="B89" s="294">
        <v>0</v>
      </c>
      <c r="C89" s="294">
        <v>0</v>
      </c>
      <c r="D89" s="294">
        <v>0</v>
      </c>
      <c r="E89" s="294">
        <v>0</v>
      </c>
      <c r="F89" s="294">
        <v>1</v>
      </c>
      <c r="G89" s="294">
        <v>1</v>
      </c>
      <c r="H89" s="294">
        <v>0</v>
      </c>
      <c r="I89" s="294">
        <v>3</v>
      </c>
      <c r="J89" s="294">
        <v>1</v>
      </c>
      <c r="K89" s="294">
        <v>2</v>
      </c>
      <c r="L89" s="294">
        <v>0</v>
      </c>
      <c r="M89" s="294">
        <v>0</v>
      </c>
      <c r="N89" s="110"/>
    </row>
    <row r="90" spans="1:14" x14ac:dyDescent="0.2">
      <c r="A90" s="294" t="s">
        <v>43</v>
      </c>
      <c r="B90" s="294">
        <f t="shared" ref="B90:M90" si="5">B87-B88-B89-B92</f>
        <v>21</v>
      </c>
      <c r="C90" s="294">
        <f t="shared" si="5"/>
        <v>22</v>
      </c>
      <c r="D90" s="294">
        <f t="shared" si="5"/>
        <v>17</v>
      </c>
      <c r="E90" s="294">
        <f t="shared" si="5"/>
        <v>21</v>
      </c>
      <c r="F90" s="294">
        <f t="shared" si="5"/>
        <v>22</v>
      </c>
      <c r="G90" s="294">
        <f t="shared" si="5"/>
        <v>20</v>
      </c>
      <c r="H90" s="294">
        <f t="shared" si="5"/>
        <v>20</v>
      </c>
      <c r="I90" s="294">
        <f t="shared" si="5"/>
        <v>20</v>
      </c>
      <c r="J90" s="294">
        <f t="shared" si="5"/>
        <v>21</v>
      </c>
      <c r="K90" s="294">
        <f t="shared" si="5"/>
        <v>19</v>
      </c>
      <c r="L90" s="294">
        <f t="shared" si="5"/>
        <v>22</v>
      </c>
      <c r="M90" s="294">
        <f t="shared" si="5"/>
        <v>2</v>
      </c>
      <c r="N90" s="110"/>
    </row>
    <row r="91" spans="1:14" x14ac:dyDescent="0.2">
      <c r="A91" s="294" t="s">
        <v>44</v>
      </c>
      <c r="B91" s="294">
        <v>13</v>
      </c>
      <c r="C91" s="294">
        <v>20</v>
      </c>
      <c r="D91" s="294">
        <v>18</v>
      </c>
      <c r="E91" s="294">
        <v>22</v>
      </c>
      <c r="F91" s="294">
        <v>15</v>
      </c>
      <c r="G91" s="294">
        <v>22</v>
      </c>
      <c r="H91" s="294">
        <v>16</v>
      </c>
      <c r="I91" s="294">
        <v>15</v>
      </c>
      <c r="J91" s="294">
        <v>21</v>
      </c>
      <c r="K91" s="294">
        <v>19</v>
      </c>
      <c r="L91" s="294">
        <v>19</v>
      </c>
      <c r="M91" s="294">
        <v>0</v>
      </c>
      <c r="N91" s="110"/>
    </row>
    <row r="92" spans="1:14" x14ac:dyDescent="0.2">
      <c r="A92" s="294" t="s">
        <v>46</v>
      </c>
      <c r="B92" s="294">
        <v>0</v>
      </c>
      <c r="C92" s="294">
        <v>0</v>
      </c>
      <c r="D92" s="294">
        <v>5</v>
      </c>
      <c r="E92" s="294">
        <v>0</v>
      </c>
      <c r="F92" s="294">
        <v>0</v>
      </c>
      <c r="G92" s="294">
        <v>0</v>
      </c>
      <c r="H92" s="294">
        <v>0</v>
      </c>
      <c r="I92" s="294">
        <v>0</v>
      </c>
      <c r="J92" s="294">
        <v>0</v>
      </c>
      <c r="K92" s="294">
        <v>0</v>
      </c>
      <c r="L92" s="294">
        <v>0</v>
      </c>
      <c r="M92" s="294">
        <v>20</v>
      </c>
      <c r="N92" s="110"/>
    </row>
    <row r="93" spans="1:14" ht="15.75" thickBot="1" x14ac:dyDescent="0.2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x14ac:dyDescent="0.2">
      <c r="A94" s="294" t="s">
        <v>40</v>
      </c>
      <c r="B94" s="294">
        <f>SUM(B87:M87)</f>
        <v>365</v>
      </c>
      <c r="C94" s="110"/>
      <c r="D94" s="295">
        <v>1924</v>
      </c>
      <c r="E94" s="295">
        <f>D94</f>
        <v>1924</v>
      </c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x14ac:dyDescent="0.2">
      <c r="A95" s="294" t="s">
        <v>41</v>
      </c>
      <c r="B95" s="294">
        <f>SUM(B88:M88)</f>
        <v>105</v>
      </c>
      <c r="C95" s="110"/>
      <c r="D95" s="296">
        <f>C96*B96</f>
        <v>59.2</v>
      </c>
      <c r="E95" s="296">
        <f>D95</f>
        <v>59.2</v>
      </c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x14ac:dyDescent="0.2">
      <c r="A96" s="294" t="s">
        <v>42</v>
      </c>
      <c r="B96" s="294">
        <f>SUM(B89:M89)</f>
        <v>8</v>
      </c>
      <c r="C96" s="110">
        <v>7.4</v>
      </c>
      <c r="D96" s="296"/>
      <c r="E96" s="296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x14ac:dyDescent="0.2">
      <c r="A97" s="294" t="s">
        <v>43</v>
      </c>
      <c r="B97" s="297">
        <f>SUM(B90:M90)-1</f>
        <v>226</v>
      </c>
      <c r="C97" s="110"/>
      <c r="D97" s="296"/>
      <c r="E97" s="296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x14ac:dyDescent="0.2">
      <c r="A98" s="294" t="s">
        <v>44</v>
      </c>
      <c r="B98" s="294">
        <f>SUM(B91:M91)</f>
        <v>200</v>
      </c>
      <c r="C98" s="110"/>
      <c r="D98" s="296">
        <f>C99*B99</f>
        <v>185</v>
      </c>
      <c r="E98" s="296">
        <f>D98</f>
        <v>185</v>
      </c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x14ac:dyDescent="0.2">
      <c r="A99" s="294" t="s">
        <v>46</v>
      </c>
      <c r="B99" s="294">
        <f>SUM(B92:M92)</f>
        <v>25</v>
      </c>
      <c r="C99" s="110">
        <f>C96</f>
        <v>7.4</v>
      </c>
      <c r="D99" s="296">
        <f>C100*B100</f>
        <v>37</v>
      </c>
      <c r="E99" s="296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ht="16.5" thickBot="1" x14ac:dyDescent="0.3">
      <c r="A100" s="294" t="s">
        <v>47</v>
      </c>
      <c r="B100" s="294">
        <v>5</v>
      </c>
      <c r="C100" s="110">
        <f>C99</f>
        <v>7.4</v>
      </c>
      <c r="D100" s="298">
        <f>D94-D95-D98-D99</f>
        <v>1642.8</v>
      </c>
      <c r="E100" s="298">
        <f>E94-E95-E98-E99</f>
        <v>1679.8</v>
      </c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x14ac:dyDescent="0.2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x14ac:dyDescent="0.2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x14ac:dyDescent="0.2">
      <c r="A103" s="110"/>
      <c r="B103" s="300">
        <v>39661</v>
      </c>
      <c r="C103" s="300">
        <v>39692</v>
      </c>
      <c r="D103" s="300">
        <v>39722</v>
      </c>
      <c r="E103" s="300">
        <v>39753</v>
      </c>
      <c r="F103" s="300">
        <v>39783</v>
      </c>
      <c r="G103" s="300">
        <v>39814</v>
      </c>
      <c r="H103" s="300">
        <v>39845</v>
      </c>
      <c r="I103" s="300">
        <v>39873</v>
      </c>
      <c r="J103" s="300">
        <v>39904</v>
      </c>
      <c r="K103" s="300">
        <v>39934</v>
      </c>
      <c r="L103" s="300">
        <v>39965</v>
      </c>
      <c r="M103" s="300">
        <v>39995</v>
      </c>
      <c r="N103" s="110"/>
    </row>
    <row r="104" spans="1:14" x14ac:dyDescent="0.2">
      <c r="A104" s="294" t="s">
        <v>40</v>
      </c>
      <c r="B104" s="294">
        <v>31</v>
      </c>
      <c r="C104" s="294">
        <v>30</v>
      </c>
      <c r="D104" s="294">
        <v>31</v>
      </c>
      <c r="E104" s="294">
        <v>30</v>
      </c>
      <c r="F104" s="294">
        <v>31</v>
      </c>
      <c r="G104" s="294">
        <v>31</v>
      </c>
      <c r="H104" s="294">
        <v>28</v>
      </c>
      <c r="I104" s="294">
        <v>31</v>
      </c>
      <c r="J104" s="294">
        <v>30</v>
      </c>
      <c r="K104" s="294">
        <v>31</v>
      </c>
      <c r="L104" s="294">
        <v>30</v>
      </c>
      <c r="M104" s="294">
        <v>31</v>
      </c>
      <c r="N104" s="110"/>
    </row>
    <row r="105" spans="1:14" x14ac:dyDescent="0.2">
      <c r="A105" s="294" t="s">
        <v>41</v>
      </c>
      <c r="B105" s="294">
        <v>10</v>
      </c>
      <c r="C105" s="294">
        <v>8</v>
      </c>
      <c r="D105" s="294">
        <v>8</v>
      </c>
      <c r="E105" s="294">
        <v>10</v>
      </c>
      <c r="F105" s="294">
        <v>8</v>
      </c>
      <c r="G105" s="294">
        <v>9</v>
      </c>
      <c r="H105" s="294">
        <v>8</v>
      </c>
      <c r="I105" s="294">
        <v>9</v>
      </c>
      <c r="J105" s="294">
        <v>8</v>
      </c>
      <c r="K105" s="294">
        <v>10</v>
      </c>
      <c r="L105" s="294">
        <v>8</v>
      </c>
      <c r="M105" s="294">
        <v>8</v>
      </c>
      <c r="N105" s="110"/>
    </row>
    <row r="106" spans="1:14" x14ac:dyDescent="0.2">
      <c r="A106" s="294" t="s">
        <v>42</v>
      </c>
      <c r="B106" s="294">
        <v>0</v>
      </c>
      <c r="C106" s="294">
        <v>0</v>
      </c>
      <c r="D106" s="294">
        <v>0</v>
      </c>
      <c r="E106" s="294">
        <v>0</v>
      </c>
      <c r="F106" s="294">
        <v>2</v>
      </c>
      <c r="G106" s="294">
        <v>1</v>
      </c>
      <c r="H106" s="294">
        <v>0</v>
      </c>
      <c r="I106" s="294">
        <v>0</v>
      </c>
      <c r="J106" s="294">
        <v>3</v>
      </c>
      <c r="K106" s="294">
        <v>2</v>
      </c>
      <c r="L106" s="294">
        <v>1</v>
      </c>
      <c r="M106" s="294">
        <v>0</v>
      </c>
      <c r="N106" s="110"/>
    </row>
    <row r="107" spans="1:14" x14ac:dyDescent="0.2">
      <c r="A107" s="294" t="s">
        <v>43</v>
      </c>
      <c r="B107" s="294">
        <f t="shared" ref="B107:M107" si="6">B104-B105-B106-B109</f>
        <v>21</v>
      </c>
      <c r="C107" s="294">
        <f t="shared" si="6"/>
        <v>22</v>
      </c>
      <c r="D107" s="294">
        <f t="shared" si="6"/>
        <v>20</v>
      </c>
      <c r="E107" s="294">
        <f t="shared" si="6"/>
        <v>20</v>
      </c>
      <c r="F107" s="294">
        <f t="shared" si="6"/>
        <v>21</v>
      </c>
      <c r="G107" s="294">
        <f t="shared" si="6"/>
        <v>21</v>
      </c>
      <c r="H107" s="294">
        <f t="shared" si="6"/>
        <v>20</v>
      </c>
      <c r="I107" s="294">
        <f t="shared" si="6"/>
        <v>22</v>
      </c>
      <c r="J107" s="294">
        <f t="shared" si="6"/>
        <v>19</v>
      </c>
      <c r="K107" s="294">
        <f t="shared" si="6"/>
        <v>19</v>
      </c>
      <c r="L107" s="294">
        <f t="shared" si="6"/>
        <v>21</v>
      </c>
      <c r="M107" s="294">
        <f t="shared" si="6"/>
        <v>3</v>
      </c>
      <c r="N107" s="110"/>
    </row>
    <row r="108" spans="1:14" x14ac:dyDescent="0.2">
      <c r="A108" s="294" t="s">
        <v>44</v>
      </c>
      <c r="B108" s="294">
        <v>13</v>
      </c>
      <c r="C108" s="294">
        <v>20</v>
      </c>
      <c r="D108" s="294">
        <v>18</v>
      </c>
      <c r="E108" s="294">
        <v>22</v>
      </c>
      <c r="F108" s="294">
        <v>15</v>
      </c>
      <c r="G108" s="294">
        <v>22</v>
      </c>
      <c r="H108" s="294">
        <v>16</v>
      </c>
      <c r="I108" s="294">
        <v>15</v>
      </c>
      <c r="J108" s="294">
        <v>21</v>
      </c>
      <c r="K108" s="294">
        <v>19</v>
      </c>
      <c r="L108" s="294">
        <v>19</v>
      </c>
      <c r="M108" s="294">
        <v>0</v>
      </c>
      <c r="N108" s="110"/>
    </row>
    <row r="109" spans="1:14" x14ac:dyDescent="0.2">
      <c r="A109" s="294" t="s">
        <v>46</v>
      </c>
      <c r="B109" s="294">
        <v>0</v>
      </c>
      <c r="C109" s="294">
        <v>0</v>
      </c>
      <c r="D109" s="294">
        <v>3</v>
      </c>
      <c r="E109" s="294">
        <v>0</v>
      </c>
      <c r="F109" s="294">
        <v>0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>
        <v>0</v>
      </c>
      <c r="M109" s="294">
        <v>20</v>
      </c>
      <c r="N109" s="110"/>
    </row>
    <row r="110" spans="1:14" ht="15.75" thickBot="1" x14ac:dyDescent="0.2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1:14" x14ac:dyDescent="0.2">
      <c r="A111" s="294" t="s">
        <v>40</v>
      </c>
      <c r="B111" s="294">
        <f>SUM(B104:M104)</f>
        <v>365</v>
      </c>
      <c r="C111" s="110"/>
      <c r="D111" s="295">
        <v>1924</v>
      </c>
      <c r="E111" s="295">
        <f>D111</f>
        <v>1924</v>
      </c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x14ac:dyDescent="0.2">
      <c r="A112" s="294" t="s">
        <v>41</v>
      </c>
      <c r="B112" s="294">
        <f>SUM(B105:M105)</f>
        <v>104</v>
      </c>
      <c r="C112" s="110"/>
      <c r="D112" s="296">
        <f>C113*B113</f>
        <v>66.600000000000009</v>
      </c>
      <c r="E112" s="296">
        <f>D112</f>
        <v>66.600000000000009</v>
      </c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1:14" x14ac:dyDescent="0.2">
      <c r="A113" s="294" t="s">
        <v>42</v>
      </c>
      <c r="B113" s="294">
        <f>SUM(B106:M106)</f>
        <v>9</v>
      </c>
      <c r="C113" s="110">
        <v>7.4</v>
      </c>
      <c r="D113" s="296"/>
      <c r="E113" s="296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1:14" x14ac:dyDescent="0.2">
      <c r="A114" s="294" t="s">
        <v>43</v>
      </c>
      <c r="B114" s="297">
        <f>SUM(B107:M107)-1</f>
        <v>228</v>
      </c>
      <c r="C114" s="110"/>
      <c r="D114" s="296"/>
      <c r="E114" s="296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x14ac:dyDescent="0.2">
      <c r="A115" s="294" t="s">
        <v>44</v>
      </c>
      <c r="B115" s="294">
        <f>SUM(B108:M108)</f>
        <v>200</v>
      </c>
      <c r="C115" s="110"/>
      <c r="D115" s="296">
        <f>C116*B116</f>
        <v>170.20000000000002</v>
      </c>
      <c r="E115" s="296">
        <f>D115</f>
        <v>170.20000000000002</v>
      </c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x14ac:dyDescent="0.2">
      <c r="A116" s="294" t="s">
        <v>46</v>
      </c>
      <c r="B116" s="294">
        <f>SUM(B109:M109)</f>
        <v>23</v>
      </c>
      <c r="C116" s="110">
        <f>C113</f>
        <v>7.4</v>
      </c>
      <c r="D116" s="296">
        <f>C117*B117</f>
        <v>37</v>
      </c>
      <c r="E116" s="296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ht="16.5" thickBot="1" x14ac:dyDescent="0.3">
      <c r="A117" s="294" t="s">
        <v>47</v>
      </c>
      <c r="B117" s="294">
        <v>5</v>
      </c>
      <c r="C117" s="110">
        <f>C116</f>
        <v>7.4</v>
      </c>
      <c r="D117" s="298">
        <f>D111-D112-D115-D116</f>
        <v>1650.2</v>
      </c>
      <c r="E117" s="298">
        <f>E111-E112-E115-E116</f>
        <v>1687.2</v>
      </c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1:14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1:14" x14ac:dyDescent="0.2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1:14" x14ac:dyDescent="0.2">
      <c r="A120" s="110"/>
      <c r="B120" s="300">
        <v>39295</v>
      </c>
      <c r="C120" s="300">
        <v>39326</v>
      </c>
      <c r="D120" s="300">
        <v>39356</v>
      </c>
      <c r="E120" s="300">
        <v>39387</v>
      </c>
      <c r="F120" s="300">
        <v>39417</v>
      </c>
      <c r="G120" s="300">
        <v>39448</v>
      </c>
      <c r="H120" s="300">
        <v>39479</v>
      </c>
      <c r="I120" s="300">
        <v>39508</v>
      </c>
      <c r="J120" s="300">
        <v>39539</v>
      </c>
      <c r="K120" s="300">
        <v>39569</v>
      </c>
      <c r="L120" s="300">
        <v>39600</v>
      </c>
      <c r="M120" s="300">
        <v>39630</v>
      </c>
      <c r="N120" s="110"/>
    </row>
    <row r="121" spans="1:14" x14ac:dyDescent="0.2">
      <c r="A121" s="294" t="s">
        <v>40</v>
      </c>
      <c r="B121" s="294">
        <v>31</v>
      </c>
      <c r="C121" s="294">
        <v>30</v>
      </c>
      <c r="D121" s="294">
        <v>31</v>
      </c>
      <c r="E121" s="294">
        <v>30</v>
      </c>
      <c r="F121" s="294">
        <v>31</v>
      </c>
      <c r="G121" s="294">
        <v>31</v>
      </c>
      <c r="H121" s="294">
        <v>29</v>
      </c>
      <c r="I121" s="294">
        <v>31</v>
      </c>
      <c r="J121" s="294">
        <v>30</v>
      </c>
      <c r="K121" s="294">
        <v>31</v>
      </c>
      <c r="L121" s="294">
        <v>30</v>
      </c>
      <c r="M121" s="294">
        <v>31</v>
      </c>
      <c r="N121" s="110"/>
    </row>
    <row r="122" spans="1:14" x14ac:dyDescent="0.2">
      <c r="A122" s="294" t="s">
        <v>41</v>
      </c>
      <c r="B122" s="294">
        <v>8</v>
      </c>
      <c r="C122" s="294">
        <v>10</v>
      </c>
      <c r="D122" s="294">
        <v>8</v>
      </c>
      <c r="E122" s="294">
        <v>8</v>
      </c>
      <c r="F122" s="294">
        <v>10</v>
      </c>
      <c r="G122" s="294">
        <v>8</v>
      </c>
      <c r="H122" s="294">
        <v>8</v>
      </c>
      <c r="I122" s="294">
        <v>10</v>
      </c>
      <c r="J122" s="294">
        <v>8</v>
      </c>
      <c r="K122" s="294">
        <v>9</v>
      </c>
      <c r="L122" s="294">
        <v>9</v>
      </c>
      <c r="M122" s="294">
        <v>8</v>
      </c>
      <c r="N122" s="110"/>
    </row>
    <row r="123" spans="1:14" x14ac:dyDescent="0.2">
      <c r="A123" s="294" t="s">
        <v>42</v>
      </c>
      <c r="B123" s="294">
        <v>0</v>
      </c>
      <c r="C123" s="294">
        <v>0</v>
      </c>
      <c r="D123" s="294">
        <v>0</v>
      </c>
      <c r="E123" s="294">
        <v>0</v>
      </c>
      <c r="F123" s="294">
        <v>2</v>
      </c>
      <c r="G123" s="294">
        <v>1</v>
      </c>
      <c r="H123" s="294">
        <v>0</v>
      </c>
      <c r="I123" s="294">
        <v>3</v>
      </c>
      <c r="J123" s="294">
        <v>1</v>
      </c>
      <c r="K123" s="294">
        <v>2</v>
      </c>
      <c r="L123" s="294">
        <v>0</v>
      </c>
      <c r="M123" s="294">
        <v>0</v>
      </c>
      <c r="N123" s="110"/>
    </row>
    <row r="124" spans="1:14" x14ac:dyDescent="0.2">
      <c r="A124" s="294" t="s">
        <v>43</v>
      </c>
      <c r="B124" s="294">
        <f>B121-B122-B123</f>
        <v>23</v>
      </c>
      <c r="C124" s="294">
        <f t="shared" ref="C124:L124" si="7">C121-C122-C123</f>
        <v>20</v>
      </c>
      <c r="D124" s="294">
        <f t="shared" si="7"/>
        <v>23</v>
      </c>
      <c r="E124" s="294">
        <f t="shared" si="7"/>
        <v>22</v>
      </c>
      <c r="F124" s="294">
        <f t="shared" si="7"/>
        <v>19</v>
      </c>
      <c r="G124" s="294">
        <f t="shared" si="7"/>
        <v>22</v>
      </c>
      <c r="H124" s="294">
        <f t="shared" si="7"/>
        <v>21</v>
      </c>
      <c r="I124" s="294">
        <f t="shared" si="7"/>
        <v>18</v>
      </c>
      <c r="J124" s="294">
        <f t="shared" si="7"/>
        <v>21</v>
      </c>
      <c r="K124" s="294">
        <f t="shared" si="7"/>
        <v>20</v>
      </c>
      <c r="L124" s="294">
        <f t="shared" si="7"/>
        <v>21</v>
      </c>
      <c r="M124" s="297">
        <v>0</v>
      </c>
      <c r="N124" s="110"/>
    </row>
    <row r="125" spans="1:14" x14ac:dyDescent="0.2">
      <c r="A125" s="294" t="s">
        <v>44</v>
      </c>
      <c r="B125" s="294">
        <v>13</v>
      </c>
      <c r="C125" s="294">
        <v>20</v>
      </c>
      <c r="D125" s="294">
        <v>18</v>
      </c>
      <c r="E125" s="294">
        <v>22</v>
      </c>
      <c r="F125" s="294">
        <v>15</v>
      </c>
      <c r="G125" s="294">
        <v>22</v>
      </c>
      <c r="H125" s="294">
        <v>16</v>
      </c>
      <c r="I125" s="294">
        <v>15</v>
      </c>
      <c r="J125" s="294">
        <v>21</v>
      </c>
      <c r="K125" s="294">
        <v>19</v>
      </c>
      <c r="L125" s="294">
        <v>19</v>
      </c>
      <c r="M125" s="294">
        <v>0</v>
      </c>
      <c r="N125" s="110"/>
    </row>
    <row r="126" spans="1:14" x14ac:dyDescent="0.2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x14ac:dyDescent="0.2">
      <c r="A127" s="294" t="s">
        <v>40</v>
      </c>
      <c r="B127" s="294">
        <f>SUM(B121:M121)</f>
        <v>366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1:14" x14ac:dyDescent="0.2">
      <c r="A128" s="294" t="s">
        <v>41</v>
      </c>
      <c r="B128" s="294">
        <f>SUM(B122:M122)</f>
        <v>104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x14ac:dyDescent="0.2">
      <c r="A129" s="294" t="s">
        <v>42</v>
      </c>
      <c r="B129" s="294">
        <f>SUM(B123:M123)</f>
        <v>9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1:14" x14ac:dyDescent="0.2">
      <c r="A130" s="294" t="s">
        <v>43</v>
      </c>
      <c r="B130" s="297">
        <f>SUM(B124:M124)-1</f>
        <v>229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1:14" x14ac:dyDescent="0.2">
      <c r="A131" s="294" t="s">
        <v>44</v>
      </c>
      <c r="B131" s="294">
        <f>SUM(B125:M125)</f>
        <v>200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20"/>
  <sheetViews>
    <sheetView showGridLines="0" defaultGridColor="0" topLeftCell="A53" colorId="22" zoomScale="87" zoomScaleNormal="87" workbookViewId="0">
      <selection activeCell="C88" sqref="C88"/>
    </sheetView>
  </sheetViews>
  <sheetFormatPr defaultColWidth="9.77734375" defaultRowHeight="15" x14ac:dyDescent="0.2"/>
  <cols>
    <col min="1" max="1" width="12.33203125" customWidth="1"/>
    <col min="2" max="2" width="11" style="6" bestFit="1" customWidth="1"/>
    <col min="3" max="3" width="10.6640625" style="6" customWidth="1"/>
    <col min="4" max="4" width="10.44140625" bestFit="1" customWidth="1"/>
    <col min="5" max="5" width="9.88671875" customWidth="1"/>
    <col min="6" max="6" width="12.109375" customWidth="1"/>
    <col min="7" max="7" width="10.44140625" bestFit="1" customWidth="1"/>
    <col min="8" max="8" width="8.77734375" bestFit="1" customWidth="1"/>
  </cols>
  <sheetData>
    <row r="1" spans="1:10" ht="16.5" thickTop="1" x14ac:dyDescent="0.25">
      <c r="A1" s="16" t="s">
        <v>10</v>
      </c>
      <c r="B1" s="17"/>
      <c r="C1" s="18"/>
      <c r="D1" s="19"/>
    </row>
    <row r="2" spans="1:10" ht="15.75" x14ac:dyDescent="0.25">
      <c r="A2" s="20" t="s">
        <v>11</v>
      </c>
      <c r="B2" s="21"/>
      <c r="C2" s="22"/>
      <c r="D2" s="23"/>
    </row>
    <row r="3" spans="1:10" ht="16.5" thickBot="1" x14ac:dyDescent="0.3">
      <c r="A3" s="24" t="s">
        <v>12</v>
      </c>
      <c r="B3" s="25"/>
      <c r="C3" s="26"/>
      <c r="D3" s="27"/>
      <c r="F3" s="208"/>
      <c r="G3" s="208"/>
      <c r="H3" s="208"/>
      <c r="I3" s="208"/>
      <c r="J3" s="208"/>
    </row>
    <row r="4" spans="1:10" ht="0.2" customHeight="1" thickTop="1" thickBot="1" x14ac:dyDescent="0.25">
      <c r="E4" s="208"/>
      <c r="F4" s="208"/>
      <c r="G4" s="208"/>
      <c r="H4" s="208"/>
      <c r="I4" s="208"/>
      <c r="J4" s="208"/>
    </row>
    <row r="5" spans="1:10" ht="0.2" customHeight="1" thickTop="1" thickBot="1" x14ac:dyDescent="0.25">
      <c r="E5" s="208"/>
      <c r="F5" s="208"/>
      <c r="G5" s="208"/>
      <c r="H5" s="208"/>
      <c r="I5" s="208"/>
      <c r="J5" s="208"/>
    </row>
    <row r="6" spans="1:10" ht="0.2" customHeight="1" thickTop="1" thickBot="1" x14ac:dyDescent="0.25">
      <c r="E6" s="208"/>
      <c r="F6" s="208"/>
      <c r="G6" s="208"/>
      <c r="H6" s="208"/>
      <c r="I6" s="208"/>
      <c r="J6" s="208"/>
    </row>
    <row r="7" spans="1:10" ht="0.2" customHeight="1" thickTop="1" thickBot="1" x14ac:dyDescent="0.25">
      <c r="E7" s="208"/>
      <c r="F7" s="208"/>
      <c r="G7" s="208"/>
      <c r="H7" s="208"/>
      <c r="I7" s="208"/>
      <c r="J7" s="208"/>
    </row>
    <row r="8" spans="1:10" ht="0.2" customHeight="1" thickTop="1" thickBot="1" x14ac:dyDescent="0.25">
      <c r="E8" s="208"/>
      <c r="F8" s="208"/>
      <c r="G8" s="208"/>
      <c r="H8" s="208"/>
      <c r="I8" s="208"/>
      <c r="J8" s="208"/>
    </row>
    <row r="9" spans="1:10" ht="0.2" customHeight="1" thickTop="1" thickBot="1" x14ac:dyDescent="0.25">
      <c r="E9" s="208"/>
      <c r="F9" s="208"/>
      <c r="G9" s="208"/>
      <c r="H9" s="208"/>
      <c r="I9" s="208"/>
      <c r="J9" s="208"/>
    </row>
    <row r="10" spans="1:10" ht="0.2" customHeight="1" thickTop="1" thickBot="1" x14ac:dyDescent="0.25">
      <c r="E10" s="208"/>
      <c r="F10" s="208"/>
      <c r="G10" s="208"/>
      <c r="H10" s="208"/>
      <c r="I10" s="208"/>
      <c r="J10" s="208"/>
    </row>
    <row r="11" spans="1:10" ht="0.2" customHeight="1" thickTop="1" thickBot="1" x14ac:dyDescent="0.25">
      <c r="E11" s="208"/>
      <c r="F11" s="208"/>
      <c r="G11" s="208"/>
      <c r="H11" s="208"/>
      <c r="I11" s="208"/>
      <c r="J11" s="208"/>
    </row>
    <row r="12" spans="1:10" ht="0.2" customHeight="1" thickTop="1" thickBot="1" x14ac:dyDescent="0.25">
      <c r="E12" s="208"/>
      <c r="F12" s="208"/>
      <c r="G12" s="208"/>
      <c r="H12" s="208"/>
      <c r="I12" s="208"/>
      <c r="J12" s="208"/>
    </row>
    <row r="13" spans="1:10" ht="0.2" customHeight="1" thickTop="1" thickBot="1" x14ac:dyDescent="0.25">
      <c r="B13" s="7"/>
      <c r="C13" s="9"/>
      <c r="D13" s="2"/>
      <c r="E13" s="208"/>
      <c r="F13" s="208"/>
      <c r="G13" s="208"/>
      <c r="H13" s="208"/>
      <c r="I13" s="208"/>
      <c r="J13" s="208"/>
    </row>
    <row r="14" spans="1:10" ht="0.2" customHeight="1" thickTop="1" thickBot="1" x14ac:dyDescent="0.25">
      <c r="B14" s="7"/>
      <c r="C14" s="9"/>
      <c r="D14" s="2"/>
      <c r="E14" s="208"/>
      <c r="F14" s="208"/>
      <c r="G14" s="208"/>
      <c r="H14" s="208"/>
      <c r="I14" s="208"/>
      <c r="J14" s="208"/>
    </row>
    <row r="15" spans="1:10" ht="0.2" customHeight="1" thickTop="1" thickBot="1" x14ac:dyDescent="0.25">
      <c r="B15" s="8"/>
      <c r="C15" s="10"/>
      <c r="D15" s="2"/>
      <c r="E15" s="208"/>
      <c r="F15" s="208"/>
      <c r="G15" s="208"/>
      <c r="H15" s="208"/>
      <c r="I15" s="208"/>
      <c r="J15" s="208"/>
    </row>
    <row r="16" spans="1:10" ht="0.2" customHeight="1" thickTop="1" thickBot="1" x14ac:dyDescent="0.25">
      <c r="B16" s="8"/>
      <c r="C16" s="10"/>
      <c r="D16" s="2"/>
      <c r="E16" s="208"/>
      <c r="F16" s="208"/>
      <c r="G16" s="208"/>
      <c r="H16" s="208"/>
      <c r="I16" s="208"/>
      <c r="J16" s="208"/>
    </row>
    <row r="17" spans="1:10" ht="0.2" customHeight="1" thickTop="1" thickBot="1" x14ac:dyDescent="0.25">
      <c r="B17" s="8"/>
      <c r="C17" s="10"/>
      <c r="D17" s="2"/>
      <c r="E17" s="208"/>
      <c r="F17" s="208"/>
      <c r="G17" s="208"/>
      <c r="H17" s="208"/>
      <c r="I17" s="208"/>
      <c r="J17" s="208"/>
    </row>
    <row r="18" spans="1:10" ht="0.2" customHeight="1" thickTop="1" thickBot="1" x14ac:dyDescent="0.25">
      <c r="B18" s="8"/>
      <c r="C18" s="10"/>
      <c r="D18" s="2"/>
      <c r="E18" s="208"/>
      <c r="F18" s="208"/>
      <c r="G18" s="208"/>
      <c r="H18" s="208"/>
      <c r="I18" s="208"/>
      <c r="J18" s="208"/>
    </row>
    <row r="19" spans="1:10" ht="0.2" customHeight="1" thickTop="1" thickBot="1" x14ac:dyDescent="0.25">
      <c r="C19" s="10"/>
      <c r="D19" s="2"/>
      <c r="E19" s="208"/>
      <c r="F19" s="208"/>
      <c r="G19" s="208"/>
      <c r="H19" s="208"/>
      <c r="I19" s="208"/>
      <c r="J19" s="208"/>
    </row>
    <row r="20" spans="1:10" ht="15.75" customHeight="1" thickTop="1" thickBot="1" x14ac:dyDescent="0.25">
      <c r="A20" s="29" t="s">
        <v>20</v>
      </c>
      <c r="B20" s="129" t="s">
        <v>94</v>
      </c>
      <c r="E20" s="208"/>
      <c r="F20" s="208"/>
      <c r="G20" s="208"/>
      <c r="H20" s="208"/>
      <c r="I20" s="208"/>
      <c r="J20" s="208"/>
    </row>
    <row r="21" spans="1:10" ht="15" customHeight="1" x14ac:dyDescent="0.2">
      <c r="B21" s="56"/>
      <c r="C21" s="48" t="s">
        <v>1</v>
      </c>
      <c r="E21" s="208"/>
      <c r="F21" s="208"/>
      <c r="G21" s="208"/>
      <c r="H21" s="208"/>
      <c r="I21" s="208"/>
      <c r="J21" s="208"/>
    </row>
    <row r="22" spans="1:10" ht="15.6" customHeight="1" x14ac:dyDescent="0.25">
      <c r="A22" s="53" t="s">
        <v>0</v>
      </c>
      <c r="B22" s="147">
        <v>1.2848999999999999</v>
      </c>
      <c r="C22" s="30">
        <v>1</v>
      </c>
      <c r="D22" s="54" t="s">
        <v>35</v>
      </c>
      <c r="E22" s="208"/>
      <c r="F22" s="208"/>
      <c r="G22" s="208"/>
      <c r="H22" s="208"/>
      <c r="I22" s="208"/>
      <c r="J22" s="208"/>
    </row>
    <row r="23" spans="1:10" ht="15.6" customHeight="1" x14ac:dyDescent="0.25">
      <c r="A23" s="55">
        <v>23</v>
      </c>
      <c r="B23" s="124">
        <v>283895</v>
      </c>
      <c r="C23" s="56"/>
      <c r="D23" s="124">
        <v>268051</v>
      </c>
      <c r="E23" s="208"/>
      <c r="F23" s="208"/>
      <c r="G23" s="208"/>
      <c r="H23" s="208"/>
      <c r="I23" s="208"/>
      <c r="J23" s="208"/>
    </row>
    <row r="24" spans="1:10" ht="15.75" x14ac:dyDescent="0.25">
      <c r="A24" s="55">
        <v>24</v>
      </c>
      <c r="B24" s="124">
        <v>287846</v>
      </c>
      <c r="C24" s="56">
        <f t="shared" ref="C24:C53" si="0">B24-B23</f>
        <v>3951</v>
      </c>
      <c r="D24" s="124">
        <v>272393</v>
      </c>
      <c r="E24" s="208"/>
      <c r="F24" s="208"/>
      <c r="G24" s="208"/>
      <c r="H24" s="208"/>
      <c r="I24" s="208"/>
      <c r="J24" s="208"/>
    </row>
    <row r="25" spans="1:10" ht="15.75" x14ac:dyDescent="0.25">
      <c r="A25" s="55">
        <v>25</v>
      </c>
      <c r="B25" s="124">
        <v>291861</v>
      </c>
      <c r="C25" s="56">
        <f t="shared" si="0"/>
        <v>4015</v>
      </c>
      <c r="D25" s="124">
        <v>276826</v>
      </c>
      <c r="E25" s="208"/>
      <c r="F25" s="208"/>
      <c r="G25" s="208"/>
      <c r="H25" s="208"/>
      <c r="I25" s="208"/>
      <c r="J25" s="208"/>
    </row>
    <row r="26" spans="1:10" ht="15.75" x14ac:dyDescent="0.25">
      <c r="A26" s="55">
        <v>26</v>
      </c>
      <c r="B26" s="124">
        <v>295948</v>
      </c>
      <c r="C26" s="56">
        <f t="shared" si="0"/>
        <v>4087</v>
      </c>
      <c r="D26" s="124">
        <v>281361</v>
      </c>
      <c r="E26" s="208"/>
      <c r="F26" s="208"/>
      <c r="G26" s="208"/>
      <c r="H26" s="208"/>
      <c r="I26" s="208"/>
      <c r="J26" s="208"/>
    </row>
    <row r="27" spans="1:10" ht="15.75" x14ac:dyDescent="0.25">
      <c r="A27" s="55">
        <v>27</v>
      </c>
      <c r="B27" s="124">
        <v>300104</v>
      </c>
      <c r="C27" s="56">
        <f t="shared" si="0"/>
        <v>4156</v>
      </c>
      <c r="D27" s="124">
        <v>285999</v>
      </c>
      <c r="E27" s="208"/>
      <c r="F27" s="208"/>
      <c r="G27" s="208"/>
      <c r="H27" s="208"/>
      <c r="I27" s="208"/>
      <c r="J27" s="208"/>
    </row>
    <row r="28" spans="1:10" ht="15.75" x14ac:dyDescent="0.25">
      <c r="A28" s="55">
        <v>28</v>
      </c>
      <c r="B28" s="124">
        <v>304329</v>
      </c>
      <c r="C28" s="56">
        <f t="shared" si="0"/>
        <v>4225</v>
      </c>
      <c r="D28" s="124">
        <v>290740</v>
      </c>
      <c r="E28" s="208"/>
      <c r="F28" s="208"/>
      <c r="G28" s="208"/>
      <c r="H28" s="208"/>
      <c r="I28" s="208"/>
      <c r="J28" s="208"/>
    </row>
    <row r="29" spans="1:10" ht="15.75" x14ac:dyDescent="0.25">
      <c r="A29" s="55">
        <v>29</v>
      </c>
      <c r="B29" s="124">
        <v>308626</v>
      </c>
      <c r="C29" s="56">
        <f t="shared" si="0"/>
        <v>4297</v>
      </c>
      <c r="D29" s="124">
        <v>295588</v>
      </c>
      <c r="E29" s="208"/>
      <c r="F29" s="208"/>
      <c r="G29" s="208"/>
      <c r="H29" s="208"/>
      <c r="I29" s="208"/>
      <c r="J29" s="208"/>
    </row>
    <row r="30" spans="1:10" ht="15.75" x14ac:dyDescent="0.25">
      <c r="A30" s="55">
        <v>30</v>
      </c>
      <c r="B30" s="124">
        <v>312990</v>
      </c>
      <c r="C30" s="56">
        <f t="shared" si="0"/>
        <v>4364</v>
      </c>
      <c r="D30" s="124">
        <v>300541</v>
      </c>
      <c r="E30" s="208"/>
      <c r="F30" s="208"/>
      <c r="G30" s="208"/>
      <c r="H30" s="208"/>
      <c r="I30" s="208"/>
      <c r="J30" s="208"/>
    </row>
    <row r="31" spans="1:10" ht="15.75" x14ac:dyDescent="0.25">
      <c r="A31" s="55">
        <v>31</v>
      </c>
      <c r="B31" s="124">
        <v>317431</v>
      </c>
      <c r="C31" s="56">
        <f t="shared" si="0"/>
        <v>4441</v>
      </c>
      <c r="D31" s="124">
        <v>305607</v>
      </c>
      <c r="E31" s="208"/>
      <c r="F31" s="208"/>
      <c r="G31" s="208"/>
      <c r="H31" s="208"/>
      <c r="I31" s="208"/>
      <c r="J31" s="208"/>
    </row>
    <row r="32" spans="1:10" ht="15.75" x14ac:dyDescent="0.25">
      <c r="A32" s="55">
        <v>32</v>
      </c>
      <c r="B32" s="124">
        <v>321941</v>
      </c>
      <c r="C32" s="56">
        <f t="shared" si="0"/>
        <v>4510</v>
      </c>
      <c r="D32" s="124">
        <v>310785</v>
      </c>
      <c r="E32" s="208"/>
      <c r="F32" s="208"/>
      <c r="G32" s="208"/>
      <c r="H32" s="208"/>
      <c r="I32" s="208"/>
      <c r="J32" s="208"/>
    </row>
    <row r="33" spans="1:10" ht="15.75" x14ac:dyDescent="0.25">
      <c r="A33" s="55">
        <v>33</v>
      </c>
      <c r="B33" s="124">
        <v>326522</v>
      </c>
      <c r="C33" s="56">
        <f t="shared" si="0"/>
        <v>4581</v>
      </c>
      <c r="D33" s="124">
        <v>316076</v>
      </c>
      <c r="E33" s="208"/>
      <c r="F33" s="208"/>
      <c r="G33" s="208"/>
      <c r="H33" s="208"/>
      <c r="I33" s="208"/>
      <c r="J33" s="208"/>
    </row>
    <row r="34" spans="1:10" ht="15.75" x14ac:dyDescent="0.25">
      <c r="A34" s="55">
        <v>34</v>
      </c>
      <c r="B34" s="124">
        <v>331183</v>
      </c>
      <c r="C34" s="56">
        <f t="shared" si="0"/>
        <v>4661</v>
      </c>
      <c r="D34" s="124">
        <v>321489</v>
      </c>
      <c r="E34" s="208"/>
      <c r="F34" s="208"/>
      <c r="G34" s="208"/>
      <c r="H34" s="208"/>
      <c r="I34" s="208"/>
      <c r="J34" s="208"/>
    </row>
    <row r="35" spans="1:10" ht="15.75" x14ac:dyDescent="0.25">
      <c r="A35" s="55">
        <v>35</v>
      </c>
      <c r="B35" s="124">
        <v>335911</v>
      </c>
      <c r="C35" s="56">
        <f t="shared" si="0"/>
        <v>4728</v>
      </c>
      <c r="D35" s="124">
        <v>327016</v>
      </c>
      <c r="E35" s="208"/>
      <c r="F35" s="208"/>
      <c r="G35" s="208"/>
      <c r="H35" s="208"/>
      <c r="I35" s="208"/>
      <c r="J35" s="208"/>
    </row>
    <row r="36" spans="1:10" ht="15.75" x14ac:dyDescent="0.25">
      <c r="A36" s="55">
        <v>36</v>
      </c>
      <c r="B36" s="124">
        <v>340717</v>
      </c>
      <c r="C36" s="56">
        <f t="shared" si="0"/>
        <v>4806</v>
      </c>
      <c r="D36" s="124">
        <v>332670</v>
      </c>
      <c r="E36" s="208"/>
      <c r="F36" s="208"/>
      <c r="G36" s="208"/>
      <c r="H36" s="208"/>
      <c r="I36" s="208"/>
      <c r="J36" s="208"/>
    </row>
    <row r="37" spans="1:10" ht="15.75" x14ac:dyDescent="0.25">
      <c r="A37" s="55">
        <v>37</v>
      </c>
      <c r="B37" s="124">
        <v>345595</v>
      </c>
      <c r="C37" s="56">
        <f t="shared" si="0"/>
        <v>4878</v>
      </c>
      <c r="D37" s="124">
        <v>338446</v>
      </c>
      <c r="E37" s="208"/>
      <c r="F37" s="208"/>
      <c r="G37" s="208"/>
      <c r="H37" s="208"/>
      <c r="I37" s="208"/>
      <c r="J37" s="208"/>
    </row>
    <row r="38" spans="1:10" ht="15.75" x14ac:dyDescent="0.25">
      <c r="A38" s="55">
        <v>38</v>
      </c>
      <c r="B38" s="124">
        <v>350869</v>
      </c>
      <c r="C38" s="56">
        <f t="shared" si="0"/>
        <v>5274</v>
      </c>
      <c r="D38" s="124">
        <v>344578</v>
      </c>
      <c r="E38" s="208"/>
      <c r="F38" s="208"/>
      <c r="G38" s="208"/>
      <c r="H38" s="208"/>
      <c r="I38" s="208"/>
      <c r="J38" s="208"/>
    </row>
    <row r="39" spans="1:10" ht="15.75" x14ac:dyDescent="0.25">
      <c r="A39" s="55">
        <v>39</v>
      </c>
      <c r="B39" s="124">
        <v>356002</v>
      </c>
      <c r="C39" s="56">
        <f t="shared" si="0"/>
        <v>5133</v>
      </c>
      <c r="D39" s="124">
        <v>350735</v>
      </c>
      <c r="E39" s="208"/>
      <c r="F39" s="208"/>
      <c r="G39" s="208"/>
      <c r="H39" s="208"/>
      <c r="I39" s="208"/>
      <c r="J39" s="208"/>
    </row>
    <row r="40" spans="1:10" ht="15.75" x14ac:dyDescent="0.25">
      <c r="A40" s="55">
        <v>40</v>
      </c>
      <c r="B40" s="124">
        <v>361216</v>
      </c>
      <c r="C40" s="56">
        <f t="shared" si="0"/>
        <v>5214</v>
      </c>
      <c r="D40" s="124">
        <v>357030</v>
      </c>
      <c r="E40" s="208"/>
      <c r="F40" s="208"/>
      <c r="G40" s="208"/>
      <c r="H40" s="208"/>
      <c r="I40" s="208"/>
      <c r="J40" s="208"/>
    </row>
    <row r="41" spans="1:10" ht="15.75" x14ac:dyDescent="0.25">
      <c r="A41" s="55">
        <v>41</v>
      </c>
      <c r="B41" s="124">
        <v>366506</v>
      </c>
      <c r="C41" s="56">
        <f t="shared" si="0"/>
        <v>5290</v>
      </c>
      <c r="D41" s="124">
        <v>363462</v>
      </c>
      <c r="E41" s="208"/>
      <c r="F41" s="208"/>
      <c r="G41" s="208"/>
      <c r="H41" s="208"/>
      <c r="I41" s="208"/>
      <c r="J41" s="208"/>
    </row>
    <row r="42" spans="1:10" ht="15.75" x14ac:dyDescent="0.25">
      <c r="A42" s="55">
        <v>42</v>
      </c>
      <c r="B42" s="124">
        <v>371873</v>
      </c>
      <c r="C42" s="56">
        <f t="shared" si="0"/>
        <v>5367</v>
      </c>
      <c r="D42" s="124">
        <v>370034</v>
      </c>
      <c r="E42" s="208"/>
      <c r="F42" s="208"/>
      <c r="G42" s="208"/>
      <c r="H42" s="208"/>
      <c r="I42" s="208"/>
      <c r="J42" s="208"/>
    </row>
    <row r="43" spans="1:10" ht="15.75" x14ac:dyDescent="0.25">
      <c r="A43" s="55">
        <v>43</v>
      </c>
      <c r="B43" s="124">
        <v>380138</v>
      </c>
      <c r="C43" s="56">
        <f t="shared" si="0"/>
        <v>8265</v>
      </c>
      <c r="D43" s="124">
        <v>378258</v>
      </c>
      <c r="E43" s="208"/>
      <c r="F43" s="208"/>
      <c r="G43" s="208"/>
      <c r="H43" s="208"/>
      <c r="I43" s="208"/>
      <c r="J43" s="208"/>
    </row>
    <row r="44" spans="1:10" ht="15.75" x14ac:dyDescent="0.25">
      <c r="A44" s="55">
        <v>44</v>
      </c>
      <c r="B44" s="124">
        <v>388631</v>
      </c>
      <c r="C44" s="56">
        <f t="shared" si="0"/>
        <v>8493</v>
      </c>
      <c r="D44" s="124">
        <v>386709</v>
      </c>
      <c r="E44" s="208"/>
      <c r="F44" s="208"/>
      <c r="G44" s="208"/>
      <c r="H44" s="208"/>
      <c r="I44" s="208"/>
      <c r="J44" s="208"/>
    </row>
    <row r="45" spans="1:10" ht="15.75" x14ac:dyDescent="0.25">
      <c r="A45" s="55">
        <v>45</v>
      </c>
      <c r="B45" s="124">
        <v>397357</v>
      </c>
      <c r="C45" s="56">
        <f t="shared" si="0"/>
        <v>8726</v>
      </c>
      <c r="D45" s="124">
        <v>395392</v>
      </c>
      <c r="E45" s="208"/>
      <c r="F45" s="208"/>
      <c r="G45" s="208"/>
      <c r="H45" s="208"/>
      <c r="I45" s="208"/>
      <c r="J45" s="208"/>
    </row>
    <row r="46" spans="1:10" ht="15.75" x14ac:dyDescent="0.25">
      <c r="A46" s="55">
        <v>46</v>
      </c>
      <c r="B46" s="124">
        <v>406323</v>
      </c>
      <c r="C46" s="56">
        <f t="shared" si="0"/>
        <v>8966</v>
      </c>
      <c r="D46" s="124">
        <v>404313</v>
      </c>
      <c r="E46" s="208"/>
      <c r="F46" s="208"/>
      <c r="G46" s="208"/>
      <c r="H46" s="208"/>
      <c r="I46" s="208"/>
      <c r="J46" s="208"/>
    </row>
    <row r="47" spans="1:10" ht="15.75" x14ac:dyDescent="0.25">
      <c r="A47" s="55">
        <v>47</v>
      </c>
      <c r="B47" s="124">
        <v>413555</v>
      </c>
      <c r="C47" s="56">
        <f t="shared" si="0"/>
        <v>7232</v>
      </c>
      <c r="D47" s="124">
        <v>411510</v>
      </c>
      <c r="E47" s="208"/>
      <c r="F47" s="208"/>
      <c r="G47" s="208"/>
      <c r="H47" s="208"/>
      <c r="I47" s="208"/>
      <c r="J47" s="208"/>
    </row>
    <row r="48" spans="1:10" ht="15.75" x14ac:dyDescent="0.25">
      <c r="A48" s="55">
        <v>48</v>
      </c>
      <c r="B48" s="124">
        <v>432565</v>
      </c>
      <c r="C48" s="56">
        <f t="shared" si="0"/>
        <v>19010</v>
      </c>
      <c r="D48" s="124">
        <v>430426</v>
      </c>
      <c r="E48" s="208"/>
      <c r="F48" s="208"/>
      <c r="G48" s="208"/>
      <c r="H48" s="208"/>
      <c r="I48" s="208"/>
      <c r="J48" s="208"/>
    </row>
    <row r="49" spans="1:10" ht="15.75" x14ac:dyDescent="0.25">
      <c r="A49" s="55">
        <v>49</v>
      </c>
      <c r="B49" s="124">
        <v>461595</v>
      </c>
      <c r="C49" s="56">
        <f t="shared" si="0"/>
        <v>29030</v>
      </c>
      <c r="D49" s="124">
        <v>459313</v>
      </c>
      <c r="E49" s="208"/>
      <c r="F49" s="208"/>
      <c r="G49" s="208"/>
      <c r="H49" s="208"/>
      <c r="I49" s="208"/>
      <c r="J49" s="208"/>
    </row>
    <row r="50" spans="1:10" ht="15.75" x14ac:dyDescent="0.25">
      <c r="A50" s="55">
        <v>50</v>
      </c>
      <c r="B50" s="124">
        <v>493818</v>
      </c>
      <c r="C50" s="56">
        <f t="shared" si="0"/>
        <v>32223</v>
      </c>
      <c r="D50" s="124">
        <v>491376</v>
      </c>
      <c r="E50" s="208"/>
      <c r="F50" s="208"/>
      <c r="G50" s="208"/>
      <c r="H50" s="208"/>
      <c r="I50" s="208"/>
      <c r="J50" s="208"/>
    </row>
    <row r="51" spans="1:10" ht="15.75" x14ac:dyDescent="0.25">
      <c r="A51" s="55">
        <v>51</v>
      </c>
      <c r="B51" s="124">
        <v>545458</v>
      </c>
      <c r="C51" s="56">
        <f t="shared" si="0"/>
        <v>51640</v>
      </c>
      <c r="D51" s="124">
        <v>542761</v>
      </c>
      <c r="E51" s="208"/>
      <c r="F51" s="208"/>
      <c r="G51" s="208"/>
      <c r="H51" s="208"/>
      <c r="I51" s="208"/>
      <c r="J51" s="208"/>
    </row>
    <row r="52" spans="1:10" ht="15.75" x14ac:dyDescent="0.25">
      <c r="A52" s="55">
        <v>52</v>
      </c>
      <c r="B52" s="124">
        <v>620663</v>
      </c>
      <c r="C52" s="56">
        <f t="shared" si="0"/>
        <v>75205</v>
      </c>
      <c r="D52" s="124">
        <v>617594</v>
      </c>
      <c r="E52" s="208"/>
      <c r="F52" s="208"/>
      <c r="G52" s="208"/>
      <c r="H52" s="208"/>
      <c r="I52" s="208"/>
      <c r="J52" s="208"/>
    </row>
    <row r="53" spans="1:10" ht="15.75" x14ac:dyDescent="0.25">
      <c r="A53" s="55">
        <v>53</v>
      </c>
      <c r="B53" s="124">
        <v>681465</v>
      </c>
      <c r="C53" s="56">
        <f t="shared" si="0"/>
        <v>60802</v>
      </c>
      <c r="D53" s="124">
        <v>678095</v>
      </c>
      <c r="E53" s="208"/>
      <c r="F53" s="208"/>
      <c r="G53" s="208"/>
      <c r="H53" s="208"/>
      <c r="I53" s="208"/>
      <c r="J53" s="208"/>
    </row>
    <row r="54" spans="1:10" ht="15.75" x14ac:dyDescent="0.25">
      <c r="A54" s="34"/>
      <c r="B54" s="35"/>
      <c r="C54" s="7"/>
      <c r="E54" s="208"/>
      <c r="F54" s="208"/>
      <c r="G54" s="208"/>
      <c r="H54" s="208"/>
      <c r="I54" s="208"/>
      <c r="J54" s="208"/>
    </row>
    <row r="55" spans="1:10" x14ac:dyDescent="0.2">
      <c r="B55" s="48" t="s">
        <v>1</v>
      </c>
      <c r="C55" s="49" t="str">
        <f>B20</f>
        <v>1.1.2014</v>
      </c>
      <c r="E55" s="208"/>
      <c r="F55" s="208"/>
      <c r="G55" s="208"/>
      <c r="H55" s="208"/>
      <c r="I55" s="208"/>
      <c r="J55" s="208"/>
    </row>
    <row r="56" spans="1:10" x14ac:dyDescent="0.2">
      <c r="B56" s="51">
        <f>C22</f>
        <v>1</v>
      </c>
      <c r="C56" s="51">
        <f>B22</f>
        <v>1.2848999999999999</v>
      </c>
      <c r="E56" s="208"/>
      <c r="F56" s="208"/>
      <c r="G56" s="208"/>
      <c r="H56" s="208"/>
      <c r="I56" s="208"/>
      <c r="J56" s="208"/>
    </row>
    <row r="57" spans="1:10" x14ac:dyDescent="0.2">
      <c r="A57">
        <v>3000</v>
      </c>
      <c r="B57" s="50">
        <v>3000</v>
      </c>
      <c r="C57" s="50">
        <f t="shared" ref="C57:C90" si="1">ROUND($B$22*B57,2)</f>
        <v>3854.7</v>
      </c>
      <c r="E57" s="208"/>
      <c r="F57" s="208"/>
      <c r="G57" s="208"/>
      <c r="H57" s="208"/>
      <c r="I57" s="208"/>
      <c r="J57" s="208"/>
    </row>
    <row r="58" spans="1:10" ht="15.75" customHeight="1" x14ac:dyDescent="0.2">
      <c r="A58">
        <v>2000</v>
      </c>
      <c r="B58" s="31">
        <v>2000</v>
      </c>
      <c r="C58" s="31">
        <f t="shared" si="1"/>
        <v>2569.8000000000002</v>
      </c>
      <c r="E58" s="425" t="s">
        <v>12</v>
      </c>
      <c r="F58" s="426"/>
      <c r="G58" s="427"/>
    </row>
    <row r="59" spans="1:10" ht="15.75" thickBot="1" x14ac:dyDescent="0.25">
      <c r="A59">
        <v>7000</v>
      </c>
      <c r="B59" s="31">
        <v>7000</v>
      </c>
      <c r="C59" s="31">
        <f t="shared" si="1"/>
        <v>8994.2999999999993</v>
      </c>
      <c r="E59" s="428"/>
      <c r="F59" s="429"/>
      <c r="G59" s="430"/>
    </row>
    <row r="60" spans="1:10" x14ac:dyDescent="0.2">
      <c r="A60">
        <v>10000</v>
      </c>
      <c r="B60" s="31">
        <v>10000</v>
      </c>
      <c r="C60" s="31">
        <f t="shared" si="1"/>
        <v>12849</v>
      </c>
    </row>
    <row r="61" spans="1:10" ht="15.75" x14ac:dyDescent="0.25">
      <c r="A61">
        <v>13000</v>
      </c>
      <c r="B61" s="31">
        <v>13000</v>
      </c>
      <c r="C61" s="31">
        <f t="shared" si="1"/>
        <v>16703.7</v>
      </c>
      <c r="D61" s="1"/>
    </row>
    <row r="62" spans="1:10" s="148" customFormat="1" ht="15.75" x14ac:dyDescent="0.25">
      <c r="B62" s="31"/>
      <c r="C62" s="31"/>
      <c r="D62" s="1"/>
    </row>
    <row r="63" spans="1:10" s="148" customFormat="1" ht="15.75" x14ac:dyDescent="0.25">
      <c r="A63" s="153" t="s">
        <v>96</v>
      </c>
      <c r="B63" s="31"/>
      <c r="C63" s="31"/>
      <c r="D63" s="1"/>
    </row>
    <row r="64" spans="1:10" s="148" customFormat="1" ht="15.75" x14ac:dyDescent="0.25">
      <c r="A64" s="153" t="s">
        <v>97</v>
      </c>
      <c r="B64" s="155">
        <v>12000</v>
      </c>
      <c r="C64" s="154">
        <f t="shared" si="1"/>
        <v>15418.8</v>
      </c>
      <c r="D64" s="1"/>
    </row>
    <row r="65" spans="1:4" s="148" customFormat="1" ht="15.75" x14ac:dyDescent="0.25">
      <c r="A65" s="153" t="s">
        <v>98</v>
      </c>
      <c r="B65" s="155">
        <v>13500</v>
      </c>
      <c r="C65" s="154">
        <f t="shared" si="1"/>
        <v>17346.150000000001</v>
      </c>
      <c r="D65" s="1"/>
    </row>
    <row r="66" spans="1:4" s="148" customFormat="1" ht="15.75" x14ac:dyDescent="0.25">
      <c r="A66" s="153" t="s">
        <v>99</v>
      </c>
      <c r="B66" s="155">
        <v>18000</v>
      </c>
      <c r="C66" s="154">
        <f t="shared" si="1"/>
        <v>23128.2</v>
      </c>
      <c r="D66" s="1"/>
    </row>
    <row r="67" spans="1:4" s="148" customFormat="1" ht="15.75" x14ac:dyDescent="0.25">
      <c r="A67" s="153" t="s">
        <v>100</v>
      </c>
      <c r="B67" s="155">
        <v>20500</v>
      </c>
      <c r="C67" s="154">
        <f t="shared" si="1"/>
        <v>26340.45</v>
      </c>
      <c r="D67" s="1"/>
    </row>
    <row r="68" spans="1:4" s="148" customFormat="1" ht="15.75" x14ac:dyDescent="0.25">
      <c r="B68" s="31"/>
      <c r="C68" s="31"/>
      <c r="D68" s="1"/>
    </row>
    <row r="69" spans="1:4" s="148" customFormat="1" ht="15.75" x14ac:dyDescent="0.25">
      <c r="A69" s="153" t="s">
        <v>101</v>
      </c>
      <c r="B69" s="31"/>
      <c r="C69" s="31"/>
      <c r="D69" s="1"/>
    </row>
    <row r="70" spans="1:4" s="148" customFormat="1" ht="15.75" x14ac:dyDescent="0.25">
      <c r="A70" s="153" t="s">
        <v>97</v>
      </c>
      <c r="B70" s="155">
        <v>4300</v>
      </c>
      <c r="C70" s="154">
        <f t="shared" ref="C70:C86" si="2">ROUND($B$22*B70,2)</f>
        <v>5525.07</v>
      </c>
      <c r="D70" s="1"/>
    </row>
    <row r="71" spans="1:4" s="148" customFormat="1" ht="15.75" x14ac:dyDescent="0.25">
      <c r="A71" s="153" t="s">
        <v>98</v>
      </c>
      <c r="B71" s="155">
        <v>6000</v>
      </c>
      <c r="C71" s="154">
        <f t="shared" si="2"/>
        <v>7709.4</v>
      </c>
      <c r="D71" s="1"/>
    </row>
    <row r="72" spans="1:4" s="148" customFormat="1" ht="15.75" x14ac:dyDescent="0.25">
      <c r="A72" s="153" t="s">
        <v>99</v>
      </c>
      <c r="B72" s="155">
        <v>10000</v>
      </c>
      <c r="C72" s="154">
        <f t="shared" si="2"/>
        <v>12849</v>
      </c>
      <c r="D72" s="1"/>
    </row>
    <row r="73" spans="1:4" s="148" customFormat="1" ht="15.75" x14ac:dyDescent="0.25">
      <c r="A73" s="153" t="s">
        <v>100</v>
      </c>
      <c r="B73" s="155">
        <v>13000</v>
      </c>
      <c r="C73" s="154">
        <f t="shared" si="2"/>
        <v>16703.7</v>
      </c>
      <c r="D73" s="1"/>
    </row>
    <row r="74" spans="1:4" s="148" customFormat="1" ht="15.75" x14ac:dyDescent="0.25">
      <c r="B74" s="31"/>
      <c r="C74" s="31"/>
      <c r="D74" s="1"/>
    </row>
    <row r="75" spans="1:4" s="148" customFormat="1" ht="15.75" x14ac:dyDescent="0.25">
      <c r="A75" s="153" t="s">
        <v>102</v>
      </c>
      <c r="B75" s="155">
        <v>1600</v>
      </c>
      <c r="C75" s="154">
        <f t="shared" si="2"/>
        <v>2055.84</v>
      </c>
      <c r="D75" s="1" t="s">
        <v>103</v>
      </c>
    </row>
    <row r="76" spans="1:4" s="148" customFormat="1" ht="15.75" x14ac:dyDescent="0.25">
      <c r="B76" s="155">
        <v>300</v>
      </c>
      <c r="C76" s="154">
        <f t="shared" si="2"/>
        <v>385.47</v>
      </c>
      <c r="D76" s="1" t="s">
        <v>104</v>
      </c>
    </row>
    <row r="77" spans="1:4" s="148" customFormat="1" ht="15.75" x14ac:dyDescent="0.25">
      <c r="B77" s="31"/>
      <c r="C77" s="31"/>
      <c r="D77" s="1"/>
    </row>
    <row r="78" spans="1:4" s="148" customFormat="1" ht="15.75" x14ac:dyDescent="0.25">
      <c r="A78" s="153" t="s">
        <v>105</v>
      </c>
      <c r="B78" s="155">
        <v>24000</v>
      </c>
      <c r="C78" s="154">
        <f t="shared" si="2"/>
        <v>30837.599999999999</v>
      </c>
      <c r="D78" s="1"/>
    </row>
    <row r="79" spans="1:4" s="148" customFormat="1" ht="15.75" x14ac:dyDescent="0.25">
      <c r="A79" s="153" t="s">
        <v>106</v>
      </c>
      <c r="B79" s="155">
        <v>17000</v>
      </c>
      <c r="C79" s="154">
        <f t="shared" si="2"/>
        <v>21843.3</v>
      </c>
      <c r="D79" s="1"/>
    </row>
    <row r="80" spans="1:4" s="148" customFormat="1" ht="15.75" x14ac:dyDescent="0.25">
      <c r="A80" s="153" t="s">
        <v>107</v>
      </c>
      <c r="B80" s="155">
        <v>10000</v>
      </c>
      <c r="C80" s="154">
        <f t="shared" si="2"/>
        <v>12849</v>
      </c>
      <c r="D80" s="1" t="s">
        <v>108</v>
      </c>
    </row>
    <row r="81" spans="1:4" s="148" customFormat="1" ht="15.75" x14ac:dyDescent="0.25">
      <c r="A81" s="153" t="str">
        <f>A80</f>
        <v>TR ny løn</v>
      </c>
      <c r="B81" s="155">
        <v>100</v>
      </c>
      <c r="C81" s="154">
        <f t="shared" si="2"/>
        <v>128.49</v>
      </c>
      <c r="D81" s="1" t="s">
        <v>109</v>
      </c>
    </row>
    <row r="82" spans="1:4" s="148" customFormat="1" ht="15.75" x14ac:dyDescent="0.25">
      <c r="A82" s="153" t="s">
        <v>110</v>
      </c>
      <c r="B82" s="155">
        <v>75</v>
      </c>
      <c r="C82" s="154">
        <f t="shared" si="2"/>
        <v>96.37</v>
      </c>
      <c r="D82" s="1" t="str">
        <f>D81</f>
        <v>pr medarb.</v>
      </c>
    </row>
    <row r="83" spans="1:4" s="148" customFormat="1" ht="15.75" x14ac:dyDescent="0.25">
      <c r="A83" s="153" t="s">
        <v>111</v>
      </c>
      <c r="B83" s="155">
        <v>3000</v>
      </c>
      <c r="C83" s="155">
        <f t="shared" si="2"/>
        <v>3854.7</v>
      </c>
      <c r="D83" s="1"/>
    </row>
    <row r="84" spans="1:4" s="148" customFormat="1" ht="15.75" x14ac:dyDescent="0.25">
      <c r="A84" s="153" t="s">
        <v>130</v>
      </c>
      <c r="B84" s="155">
        <v>1000</v>
      </c>
      <c r="C84" s="155">
        <f t="shared" ref="C84" si="3">ROUND($B$22*B84,2)</f>
        <v>1284.9000000000001</v>
      </c>
      <c r="D84" s="1"/>
    </row>
    <row r="85" spans="1:4" s="148" customFormat="1" ht="15.75" x14ac:dyDescent="0.25">
      <c r="A85" s="153" t="s">
        <v>112</v>
      </c>
      <c r="B85" s="155">
        <v>3000</v>
      </c>
      <c r="C85" s="155">
        <f t="shared" si="2"/>
        <v>3854.7</v>
      </c>
      <c r="D85" s="1"/>
    </row>
    <row r="86" spans="1:4" s="148" customFormat="1" ht="15.75" x14ac:dyDescent="0.25">
      <c r="A86" s="153" t="s">
        <v>113</v>
      </c>
      <c r="B86" s="155">
        <v>1500</v>
      </c>
      <c r="C86" s="155">
        <f t="shared" si="2"/>
        <v>1927.35</v>
      </c>
      <c r="D86" s="1"/>
    </row>
    <row r="87" spans="1:4" s="148" customFormat="1" ht="15.75" x14ac:dyDescent="0.25">
      <c r="B87" s="31"/>
      <c r="C87" s="31"/>
      <c r="D87" s="1"/>
    </row>
    <row r="88" spans="1:4" s="127" customFormat="1" ht="15.75" x14ac:dyDescent="0.25">
      <c r="A88" s="153" t="s">
        <v>95</v>
      </c>
      <c r="B88" s="155">
        <v>8300</v>
      </c>
      <c r="C88" s="155">
        <f t="shared" si="1"/>
        <v>10664.67</v>
      </c>
      <c r="D88" s="1" t="s">
        <v>115</v>
      </c>
    </row>
    <row r="89" spans="1:4" ht="15.75" x14ac:dyDescent="0.25">
      <c r="A89" s="153" t="str">
        <f t="shared" ref="A89:A90" si="4">A88</f>
        <v>Særligt tillæg</v>
      </c>
      <c r="B89" s="155">
        <v>5900</v>
      </c>
      <c r="C89" s="155">
        <f>ROUND($B$22*B89,2)</f>
        <v>7580.91</v>
      </c>
      <c r="D89" s="1" t="s">
        <v>114</v>
      </c>
    </row>
    <row r="90" spans="1:4" ht="15.75" x14ac:dyDescent="0.25">
      <c r="A90" s="153" t="str">
        <f t="shared" si="4"/>
        <v>Særligt tillæg</v>
      </c>
      <c r="B90" s="155">
        <v>2450</v>
      </c>
      <c r="C90" s="155">
        <f t="shared" si="1"/>
        <v>3148.01</v>
      </c>
      <c r="D90" s="1" t="s">
        <v>187</v>
      </c>
    </row>
    <row r="92" spans="1:4" ht="15.75" x14ac:dyDescent="0.25">
      <c r="A92" s="153" t="s">
        <v>116</v>
      </c>
      <c r="B92" s="156">
        <v>7200</v>
      </c>
      <c r="C92" s="155">
        <f>ROUND($B$22*B92,2)</f>
        <v>9251.2800000000007</v>
      </c>
      <c r="D92" s="1"/>
    </row>
    <row r="93" spans="1:4" x14ac:dyDescent="0.2">
      <c r="B93" s="33"/>
      <c r="C93" s="31"/>
    </row>
    <row r="94" spans="1:4" x14ac:dyDescent="0.2">
      <c r="A94" t="s">
        <v>45</v>
      </c>
      <c r="B94" s="32">
        <v>28300</v>
      </c>
      <c r="C94" s="31">
        <f>ROUND($B$22*B94,2)</f>
        <v>36362.67</v>
      </c>
    </row>
    <row r="95" spans="1:4" s="127" customFormat="1" x14ac:dyDescent="0.2">
      <c r="A95" s="127" t="s">
        <v>2</v>
      </c>
      <c r="B95" s="32">
        <v>127.33</v>
      </c>
      <c r="C95" s="31">
        <f t="shared" ref="C95:C107" si="5">ROUND($B$22*B95,2)</f>
        <v>163.61000000000001</v>
      </c>
    </row>
    <row r="96" spans="1:4" s="127" customFormat="1" ht="15" customHeight="1" x14ac:dyDescent="0.2">
      <c r="A96" s="127" t="s">
        <v>3</v>
      </c>
      <c r="B96" s="32">
        <v>289.62</v>
      </c>
      <c r="C96" s="31">
        <f t="shared" si="5"/>
        <v>372.13</v>
      </c>
    </row>
    <row r="97" spans="1:5" s="127" customFormat="1" ht="15.75" x14ac:dyDescent="0.25">
      <c r="A97" s="128" t="s">
        <v>119</v>
      </c>
      <c r="B97" s="32">
        <v>18600</v>
      </c>
      <c r="C97" s="31">
        <f>ROUND($B$22*B97,2)</f>
        <v>23899.14</v>
      </c>
      <c r="D97" s="1" t="s">
        <v>118</v>
      </c>
    </row>
    <row r="98" spans="1:5" s="127" customFormat="1" ht="15.75" x14ac:dyDescent="0.25">
      <c r="A98" s="127" t="s">
        <v>49</v>
      </c>
      <c r="B98" s="32">
        <v>32.43</v>
      </c>
      <c r="C98" s="31">
        <f t="shared" si="5"/>
        <v>41.67</v>
      </c>
      <c r="D98" s="1"/>
    </row>
    <row r="99" spans="1:5" s="127" customFormat="1" ht="15" customHeight="1" x14ac:dyDescent="0.2">
      <c r="A99" s="128" t="s">
        <v>117</v>
      </c>
      <c r="B99" s="32">
        <v>18.920000000000002</v>
      </c>
      <c r="C99" s="31">
        <f>ROUND($B$22*B99,2)</f>
        <v>24.31</v>
      </c>
    </row>
    <row r="100" spans="1:5" s="127" customFormat="1" ht="15.75" x14ac:dyDescent="0.25">
      <c r="A100" s="127" t="s">
        <v>50</v>
      </c>
      <c r="B100" s="32">
        <v>15</v>
      </c>
      <c r="C100" s="31">
        <f t="shared" si="5"/>
        <v>19.27</v>
      </c>
      <c r="D100" s="1"/>
    </row>
    <row r="101" spans="1:5" s="127" customFormat="1" ht="15.75" x14ac:dyDescent="0.25">
      <c r="A101" s="127" t="s">
        <v>52</v>
      </c>
      <c r="B101" s="32">
        <v>25.84</v>
      </c>
      <c r="C101" s="31">
        <f t="shared" si="5"/>
        <v>33.200000000000003</v>
      </c>
      <c r="D101" s="1"/>
    </row>
    <row r="102" spans="1:5" s="148" customFormat="1" ht="15.75" x14ac:dyDescent="0.25">
      <c r="A102" s="148" t="s">
        <v>147</v>
      </c>
      <c r="B102" s="32">
        <v>2800</v>
      </c>
      <c r="C102" s="31">
        <f t="shared" si="5"/>
        <v>3597.72</v>
      </c>
      <c r="D102" s="1" t="s">
        <v>148</v>
      </c>
      <c r="E102" s="128"/>
    </row>
    <row r="103" spans="1:5" s="148" customFormat="1" ht="15.75" x14ac:dyDescent="0.25">
      <c r="A103" s="148" t="str">
        <f>A102</f>
        <v>175 komp</v>
      </c>
      <c r="B103" s="32">
        <v>3250</v>
      </c>
      <c r="C103" s="31">
        <f t="shared" si="5"/>
        <v>4175.93</v>
      </c>
      <c r="D103" s="1" t="s">
        <v>149</v>
      </c>
      <c r="E103" s="128"/>
    </row>
    <row r="104" spans="1:5" s="127" customFormat="1" x14ac:dyDescent="0.2">
      <c r="B104" s="32"/>
      <c r="C104" s="31"/>
    </row>
    <row r="105" spans="1:5" s="127" customFormat="1" x14ac:dyDescent="0.2">
      <c r="A105" s="127" t="s">
        <v>5</v>
      </c>
      <c r="B105" s="32">
        <v>10500</v>
      </c>
      <c r="C105" s="31" t="s">
        <v>85</v>
      </c>
    </row>
    <row r="106" spans="1:5" s="127" customFormat="1" x14ac:dyDescent="0.2">
      <c r="A106" s="127" t="s">
        <v>36</v>
      </c>
      <c r="B106" s="32">
        <v>235</v>
      </c>
      <c r="C106" s="31">
        <f t="shared" si="5"/>
        <v>301.95</v>
      </c>
    </row>
    <row r="107" spans="1:5" s="127" customFormat="1" x14ac:dyDescent="0.2">
      <c r="A107" s="127" t="s">
        <v>58</v>
      </c>
      <c r="B107" s="32">
        <v>10000</v>
      </c>
      <c r="C107" s="31">
        <f t="shared" si="5"/>
        <v>12849</v>
      </c>
    </row>
    <row r="108" spans="1:5" s="127" customFormat="1" x14ac:dyDescent="0.2">
      <c r="B108" s="32"/>
      <c r="C108" s="31"/>
    </row>
    <row r="109" spans="1:5" x14ac:dyDescent="0.2">
      <c r="A109" t="s">
        <v>23</v>
      </c>
      <c r="B109" s="32">
        <v>194.47</v>
      </c>
      <c r="C109" s="31">
        <f>ROUND($B$22*B109,2)</f>
        <v>249.87</v>
      </c>
      <c r="E109" s="3"/>
    </row>
    <row r="110" spans="1:5" x14ac:dyDescent="0.2">
      <c r="A110" t="s">
        <v>24</v>
      </c>
      <c r="B110" s="32">
        <v>185.4</v>
      </c>
      <c r="C110" s="31">
        <f>ROUND($B$22*B110,2)</f>
        <v>238.22</v>
      </c>
      <c r="E110" s="3"/>
    </row>
    <row r="111" spans="1:5" x14ac:dyDescent="0.2">
      <c r="A111" t="s">
        <v>25</v>
      </c>
      <c r="B111" s="32">
        <v>156.54</v>
      </c>
      <c r="C111" s="31">
        <f>ROUND($B$22*B111,2)</f>
        <v>201.14</v>
      </c>
      <c r="E111" s="3"/>
    </row>
    <row r="112" spans="1:5" x14ac:dyDescent="0.2">
      <c r="A112" t="s">
        <v>22</v>
      </c>
      <c r="B112" s="32">
        <v>6</v>
      </c>
      <c r="C112" s="31">
        <f>ROUND($B$22*B112,2)</f>
        <v>7.71</v>
      </c>
      <c r="E112" s="3"/>
    </row>
    <row r="113" spans="1:4" ht="15.75" thickBot="1" x14ac:dyDescent="0.25">
      <c r="A113" t="s">
        <v>21</v>
      </c>
      <c r="B113" s="140">
        <v>3</v>
      </c>
      <c r="C113" s="141">
        <f>ROUND($B$22*B113,2)</f>
        <v>3.85</v>
      </c>
    </row>
    <row r="114" spans="1:4" ht="15.75" x14ac:dyDescent="0.25">
      <c r="A114" s="134" t="s">
        <v>10</v>
      </c>
      <c r="B114" s="142"/>
      <c r="C114" s="143"/>
      <c r="D114" s="144"/>
    </row>
    <row r="115" spans="1:4" ht="15.75" x14ac:dyDescent="0.25">
      <c r="A115" s="135" t="s">
        <v>11</v>
      </c>
      <c r="B115" s="21"/>
      <c r="C115" s="22"/>
      <c r="D115" s="136"/>
    </row>
    <row r="116" spans="1:4" ht="16.5" thickBot="1" x14ac:dyDescent="0.3">
      <c r="A116" s="137" t="s">
        <v>12</v>
      </c>
      <c r="B116" s="145"/>
      <c r="C116" s="138"/>
      <c r="D116" s="139"/>
    </row>
    <row r="118" spans="1:4" x14ac:dyDescent="0.2">
      <c r="A118" s="245" t="s">
        <v>169</v>
      </c>
      <c r="B118" s="32">
        <v>26.12</v>
      </c>
      <c r="C118" s="31">
        <f t="shared" ref="C118" si="6">ROUND($B$22*B118,2)</f>
        <v>33.56</v>
      </c>
    </row>
    <row r="119" spans="1:4" x14ac:dyDescent="0.2">
      <c r="A119" s="210"/>
    </row>
    <row r="120" spans="1:4" x14ac:dyDescent="0.2">
      <c r="A120" s="210"/>
    </row>
  </sheetData>
  <mergeCells count="1">
    <mergeCell ref="E58:G59"/>
  </mergeCells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INTRO</vt:lpstr>
      <vt:lpstr> BHKL NY LØN</vt:lpstr>
      <vt:lpstr>BHKL GL LØN</vt:lpstr>
      <vt:lpstr>LÆRER NY LØN </vt:lpstr>
      <vt:lpstr>LÆRER GL LØN </vt:lpstr>
      <vt:lpstr>Lejrskole, ulempe, weekend</vt:lpstr>
      <vt:lpstr>Dage</vt:lpstr>
      <vt:lpstr>DATABANK</vt:lpstr>
      <vt:lpstr>' BHKL NY LØN'!Udskriftsområde</vt:lpstr>
      <vt:lpstr>'BHKL GL LØN'!Udskriftsområde</vt:lpstr>
      <vt:lpstr>DATABANK!Udskriftsområde</vt:lpstr>
      <vt:lpstr>'LÆRER NY LØN 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Morten Refskov</cp:lastModifiedBy>
  <cp:lastPrinted>2011-09-07T15:31:00Z</cp:lastPrinted>
  <dcterms:created xsi:type="dcterms:W3CDTF">1999-08-18T13:04:59Z</dcterms:created>
  <dcterms:modified xsi:type="dcterms:W3CDTF">2014-10-02T09:16:34Z</dcterms:modified>
</cp:coreProperties>
</file>