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0" windowWidth="11100" windowHeight="6105" tabRatio="968"/>
  </bookViews>
  <sheets>
    <sheet name="INTRO" sheetId="1" r:id="rId1"/>
    <sheet name=" BHKL NY LØN" sheetId="2" r:id="rId2"/>
    <sheet name="BHKL GL LØN" sheetId="3" r:id="rId3"/>
    <sheet name="LÆRER NY LØN " sheetId="4" r:id="rId4"/>
    <sheet name="LÆRER GL LØN " sheetId="5" r:id="rId5"/>
    <sheet name="Lejrskole, ulempe, weekend" sheetId="12" r:id="rId6"/>
    <sheet name="Dage" sheetId="13" r:id="rId7"/>
    <sheet name="DATABANK" sheetId="10" r:id="rId8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LØN'!$A$1:$H$48</definedName>
    <definedName name="_xlnm.Print_Area" localSheetId="2">'BHKL GL LØN'!$A$1:$I$35</definedName>
    <definedName name="_xlnm.Print_Area" localSheetId="7">DATABANK!$A$1:$G$116</definedName>
    <definedName name="_xlnm.Print_Area" localSheetId="4">'LÆRER GL LØN '!#REF!</definedName>
    <definedName name="_xlnm.Print_Area" localSheetId="3">'LÆRER NY LØN '!$A$1:$H$61</definedName>
  </definedNames>
  <calcPr calcId="145621"/>
</workbook>
</file>

<file path=xl/calcChain.xml><?xml version="1.0" encoding="utf-8"?>
<calcChain xmlns="http://schemas.openxmlformats.org/spreadsheetml/2006/main">
  <c r="D5" i="4" l="1"/>
  <c r="B43" i="4"/>
  <c r="B20" i="3"/>
  <c r="B19" i="3" s="1"/>
  <c r="B33" i="2"/>
  <c r="B32" i="2" s="1"/>
  <c r="B31" i="2"/>
  <c r="B29" i="5"/>
  <c r="B28" i="5" s="1"/>
  <c r="B30" i="5"/>
  <c r="B47" i="4"/>
  <c r="B46" i="4" s="1"/>
  <c r="B45" i="4" s="1"/>
  <c r="D14" i="13" l="1"/>
  <c r="D13" i="13"/>
  <c r="E13" i="13" s="1"/>
  <c r="B13" i="13"/>
  <c r="B12" i="13"/>
  <c r="B11" i="13"/>
  <c r="D11" i="13" s="1"/>
  <c r="E11" i="13" s="1"/>
  <c r="E9" i="13"/>
  <c r="B9" i="13"/>
  <c r="G6" i="13"/>
  <c r="D6" i="13"/>
  <c r="B15" i="13" s="1"/>
  <c r="L3" i="13"/>
  <c r="G3" i="13"/>
  <c r="E3" i="13"/>
  <c r="D3" i="13"/>
  <c r="C3" i="13"/>
  <c r="B3" i="13"/>
  <c r="B10" i="13" l="1"/>
  <c r="E15" i="13"/>
  <c r="D15" i="13"/>
  <c r="C69" i="10"/>
  <c r="D43" i="4" s="1"/>
  <c r="F43" i="4" s="1"/>
  <c r="C70" i="10"/>
  <c r="D44" i="4" s="1"/>
  <c r="J42" i="4"/>
  <c r="K42" i="4" s="1"/>
  <c r="I42" i="4"/>
  <c r="G43" i="4" l="1"/>
  <c r="B31" i="5" l="1"/>
  <c r="B48" i="4"/>
  <c r="B11" i="5" l="1"/>
  <c r="D18" i="3" l="1"/>
  <c r="H53" i="4" l="1"/>
  <c r="H36" i="5"/>
  <c r="B18" i="3" l="1"/>
  <c r="C121" i="10" l="1"/>
  <c r="H11" i="12" s="1"/>
  <c r="G18" i="12" l="1"/>
  <c r="H18" i="12" s="1"/>
  <c r="G20" i="12"/>
  <c r="H20" i="12" s="1"/>
  <c r="G21" i="12"/>
  <c r="H21" i="12" s="1"/>
  <c r="G19" i="12"/>
  <c r="H19" i="12" s="1"/>
  <c r="H22" i="12" s="1"/>
  <c r="I17" i="3"/>
  <c r="I27" i="5"/>
  <c r="C106" i="10" l="1"/>
  <c r="D13" i="5" s="1"/>
  <c r="A106" i="10"/>
  <c r="C105" i="10"/>
  <c r="F13" i="5" l="1"/>
  <c r="G13" i="5" s="1"/>
  <c r="I13" i="5" s="1"/>
  <c r="D29" i="4"/>
  <c r="F29" i="4" s="1"/>
  <c r="D12" i="5"/>
  <c r="F12" i="5" s="1"/>
  <c r="G12" i="5" s="1"/>
  <c r="I12" i="5" s="1"/>
  <c r="D5" i="3"/>
  <c r="D18" i="2"/>
  <c r="C19" i="13" l="1"/>
  <c r="D19" i="13"/>
  <c r="E19" i="13"/>
  <c r="F19" i="13"/>
  <c r="G19" i="13"/>
  <c r="H19" i="13"/>
  <c r="I19" i="13"/>
  <c r="J19" i="13"/>
  <c r="K19" i="13"/>
  <c r="L19" i="13"/>
  <c r="M19" i="13"/>
  <c r="B19" i="13"/>
  <c r="D30" i="13"/>
  <c r="B29" i="13"/>
  <c r="D29" i="13" s="1"/>
  <c r="E29" i="13" s="1"/>
  <c r="B27" i="13"/>
  <c r="D27" i="13" s="1"/>
  <c r="E25" i="13"/>
  <c r="B25" i="13"/>
  <c r="G22" i="13"/>
  <c r="D22" i="13"/>
  <c r="B31" i="13" l="1"/>
  <c r="D31" i="13"/>
  <c r="E27" i="13"/>
  <c r="E31" i="13" s="1"/>
  <c r="F6" i="5" l="1"/>
  <c r="B6" i="5"/>
  <c r="H26" i="3"/>
  <c r="C87" i="10"/>
  <c r="D39" i="4" s="1"/>
  <c r="F39" i="4" s="1"/>
  <c r="G39" i="4" s="1"/>
  <c r="C89" i="10"/>
  <c r="D16" i="3" s="1"/>
  <c r="F16" i="3" s="1"/>
  <c r="G16" i="3" s="1"/>
  <c r="I16" i="3" s="1"/>
  <c r="C88" i="10"/>
  <c r="C86" i="10"/>
  <c r="D23" i="5" s="1"/>
  <c r="F23" i="5" s="1"/>
  <c r="G23" i="5" s="1"/>
  <c r="I23" i="5" s="1"/>
  <c r="A84" i="10"/>
  <c r="C85" i="10"/>
  <c r="C84" i="10"/>
  <c r="D37" i="4" s="1"/>
  <c r="F37" i="4" s="1"/>
  <c r="G37" i="4" s="1"/>
  <c r="C83" i="10"/>
  <c r="D36" i="4" s="1"/>
  <c r="F36" i="4" s="1"/>
  <c r="G36" i="4" s="1"/>
  <c r="C82" i="10"/>
  <c r="D21" i="5" s="1"/>
  <c r="F21" i="5" s="1"/>
  <c r="G21" i="5" s="1"/>
  <c r="I21" i="5" s="1"/>
  <c r="C81" i="10"/>
  <c r="D20" i="5" s="1"/>
  <c r="F20" i="5" s="1"/>
  <c r="G20" i="5" s="1"/>
  <c r="I20" i="5" s="1"/>
  <c r="D85" i="10"/>
  <c r="C79" i="10"/>
  <c r="D17" i="5" s="1"/>
  <c r="F17" i="5" s="1"/>
  <c r="G17" i="5" s="1"/>
  <c r="I17" i="5" s="1"/>
  <c r="C78" i="10"/>
  <c r="D30" i="4" s="1"/>
  <c r="F30" i="4" s="1"/>
  <c r="G30" i="4" s="1"/>
  <c r="C76" i="10"/>
  <c r="C75" i="10"/>
  <c r="D30" i="5" s="1"/>
  <c r="C74" i="10"/>
  <c r="D29" i="5" s="1"/>
  <c r="C73" i="10"/>
  <c r="D28" i="5" s="1"/>
  <c r="C67" i="10"/>
  <c r="C66" i="10"/>
  <c r="D47" i="4" s="1"/>
  <c r="C65" i="10"/>
  <c r="D46" i="4" s="1"/>
  <c r="C64" i="10"/>
  <c r="D45" i="4" s="1"/>
  <c r="A92" i="10"/>
  <c r="A93" i="10" s="1"/>
  <c r="F28" i="5" l="1"/>
  <c r="G28" i="5" s="1"/>
  <c r="I28" i="5" s="1"/>
  <c r="D20" i="3"/>
  <c r="F20" i="3" s="1"/>
  <c r="G20" i="3" s="1"/>
  <c r="I20" i="3" s="1"/>
  <c r="F29" i="5"/>
  <c r="G29" i="5" s="1"/>
  <c r="I29" i="5" s="1"/>
  <c r="F30" i="5"/>
  <c r="G30" i="5" s="1"/>
  <c r="I30" i="5" s="1"/>
  <c r="D12" i="3"/>
  <c r="F12" i="3" s="1"/>
  <c r="G12" i="3" s="1"/>
  <c r="I12" i="3" s="1"/>
  <c r="D22" i="5"/>
  <c r="F22" i="5" s="1"/>
  <c r="G22" i="5" s="1"/>
  <c r="I22" i="5" s="1"/>
  <c r="F47" i="4"/>
  <c r="G47" i="4" s="1"/>
  <c r="D28" i="2"/>
  <c r="D25" i="5"/>
  <c r="D40" i="4"/>
  <c r="D15" i="3"/>
  <c r="D14" i="3"/>
  <c r="F14" i="3" s="1"/>
  <c r="G14" i="3" s="1"/>
  <c r="I14" i="3" s="1"/>
  <c r="D24" i="5"/>
  <c r="F24" i="5" s="1"/>
  <c r="G24" i="5" s="1"/>
  <c r="I24" i="5" s="1"/>
  <c r="D27" i="2"/>
  <c r="F27" i="2" s="1"/>
  <c r="G27" i="2" s="1"/>
  <c r="D24" i="2"/>
  <c r="D29" i="2"/>
  <c r="F29" i="2" s="1"/>
  <c r="G29" i="2" s="1"/>
  <c r="D13" i="3"/>
  <c r="F13" i="3" s="1"/>
  <c r="G13" i="3" s="1"/>
  <c r="I13" i="3" s="1"/>
  <c r="D19" i="3"/>
  <c r="F19" i="3" s="1"/>
  <c r="G19" i="3" s="1"/>
  <c r="I19" i="3" s="1"/>
  <c r="D41" i="4"/>
  <c r="F41" i="4" s="1"/>
  <c r="G41" i="4" s="1"/>
  <c r="D7" i="3"/>
  <c r="F7" i="3" s="1"/>
  <c r="G7" i="3" s="1"/>
  <c r="I7" i="3" s="1"/>
  <c r="D25" i="2"/>
  <c r="F25" i="2" s="1"/>
  <c r="G25" i="2" s="1"/>
  <c r="D31" i="2"/>
  <c r="F31" i="2" s="1"/>
  <c r="F18" i="3"/>
  <c r="G18" i="3" s="1"/>
  <c r="I18" i="3" s="1"/>
  <c r="D34" i="4"/>
  <c r="F34" i="4" s="1"/>
  <c r="G34" i="4" s="1"/>
  <c r="D38" i="4"/>
  <c r="F38" i="4" s="1"/>
  <c r="G38" i="4" s="1"/>
  <c r="D31" i="4"/>
  <c r="F31" i="4" s="1"/>
  <c r="G31" i="4" s="1"/>
  <c r="D26" i="5"/>
  <c r="F26" i="5" s="1"/>
  <c r="G26" i="5" s="1"/>
  <c r="I26" i="5" s="1"/>
  <c r="D22" i="2"/>
  <c r="D26" i="2"/>
  <c r="D32" i="2"/>
  <c r="F32" i="2" s="1"/>
  <c r="D10" i="3"/>
  <c r="F10" i="3" s="1"/>
  <c r="G10" i="3" s="1"/>
  <c r="I10" i="3" s="1"/>
  <c r="D35" i="4"/>
  <c r="F35" i="4" s="1"/>
  <c r="G35" i="4" s="1"/>
  <c r="F45" i="4"/>
  <c r="G45" i="4" s="1"/>
  <c r="D16" i="5"/>
  <c r="F16" i="5" s="1"/>
  <c r="G16" i="5" s="1"/>
  <c r="I16" i="5" s="1"/>
  <c r="D19" i="2"/>
  <c r="F19" i="2" s="1"/>
  <c r="G19" i="2" s="1"/>
  <c r="D23" i="2"/>
  <c r="D33" i="2"/>
  <c r="F33" i="2" s="1"/>
  <c r="D11" i="3"/>
  <c r="F11" i="3" s="1"/>
  <c r="G11" i="3" s="1"/>
  <c r="I11" i="3" s="1"/>
  <c r="F46" i="4"/>
  <c r="G46" i="4" s="1"/>
  <c r="D46" i="13"/>
  <c r="B45" i="13"/>
  <c r="D45" i="13" s="1"/>
  <c r="E45" i="13" s="1"/>
  <c r="B43" i="13"/>
  <c r="D43" i="13" s="1"/>
  <c r="B42" i="13"/>
  <c r="E41" i="13"/>
  <c r="B41" i="13"/>
  <c r="J38" i="13"/>
  <c r="D38" i="13"/>
  <c r="M37" i="13"/>
  <c r="L37" i="13"/>
  <c r="K37" i="13"/>
  <c r="J37" i="13"/>
  <c r="I37" i="13"/>
  <c r="H37" i="13"/>
  <c r="G37" i="13"/>
  <c r="G38" i="13" s="1"/>
  <c r="F37" i="13"/>
  <c r="E37" i="13"/>
  <c r="D37" i="13"/>
  <c r="C37" i="13"/>
  <c r="C38" i="13" s="1"/>
  <c r="B37" i="13"/>
  <c r="B47" i="13" l="1"/>
  <c r="B44" i="13"/>
  <c r="E43" i="13"/>
  <c r="E47" i="13" s="1"/>
  <c r="D47" i="13"/>
  <c r="D64" i="13"/>
  <c r="B63" i="13"/>
  <c r="D63" i="13" s="1"/>
  <c r="E63" i="13" s="1"/>
  <c r="B61" i="13"/>
  <c r="D61" i="13" s="1"/>
  <c r="B60" i="13"/>
  <c r="E59" i="13"/>
  <c r="B59" i="13"/>
  <c r="M55" i="13"/>
  <c r="L55" i="13"/>
  <c r="K55" i="13"/>
  <c r="J55" i="13"/>
  <c r="J56" i="13" s="1"/>
  <c r="I55" i="13"/>
  <c r="H55" i="13"/>
  <c r="G55" i="13"/>
  <c r="G56" i="13" s="1"/>
  <c r="F55" i="13"/>
  <c r="E55" i="13"/>
  <c r="D55" i="13"/>
  <c r="D56" i="13" s="1"/>
  <c r="C55" i="13"/>
  <c r="C56" i="13" s="1"/>
  <c r="B55" i="13"/>
  <c r="B65" i="13" l="1"/>
  <c r="B62" i="13"/>
  <c r="E61" i="13"/>
  <c r="E65" i="13" s="1"/>
  <c r="D65" i="13"/>
  <c r="C91" i="10"/>
  <c r="B82" i="13" l="1"/>
  <c r="D81" i="13"/>
  <c r="B80" i="13"/>
  <c r="D80" i="13" s="1"/>
  <c r="E80" i="13" s="1"/>
  <c r="C72" i="13"/>
  <c r="D72" i="13"/>
  <c r="E72" i="13"/>
  <c r="F72" i="13"/>
  <c r="G72" i="13"/>
  <c r="H72" i="13"/>
  <c r="I72" i="13"/>
  <c r="J72" i="13"/>
  <c r="K72" i="13"/>
  <c r="L72" i="13"/>
  <c r="M72" i="13"/>
  <c r="B78" i="13"/>
  <c r="D78" i="13" s="1"/>
  <c r="B77" i="13"/>
  <c r="E76" i="13"/>
  <c r="B76" i="13"/>
  <c r="B72" i="13"/>
  <c r="D14" i="2"/>
  <c r="D17" i="2" s="1"/>
  <c r="D12" i="2"/>
  <c r="D11" i="2"/>
  <c r="D9" i="2"/>
  <c r="D8" i="2"/>
  <c r="D7" i="2"/>
  <c r="D6" i="3"/>
  <c r="D4" i="3"/>
  <c r="D4" i="2"/>
  <c r="E93" i="13"/>
  <c r="B95" i="13"/>
  <c r="D94" i="13" s="1"/>
  <c r="E94" i="13" s="1"/>
  <c r="C98" i="13"/>
  <c r="B98" i="13"/>
  <c r="C99" i="13"/>
  <c r="D98" i="13" s="1"/>
  <c r="B97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B94" i="13"/>
  <c r="B93" i="13"/>
  <c r="B106" i="13"/>
  <c r="C106" i="13"/>
  <c r="D106" i="13"/>
  <c r="E106" i="13"/>
  <c r="F106" i="13"/>
  <c r="G106" i="13"/>
  <c r="H106" i="13"/>
  <c r="I106" i="13"/>
  <c r="J106" i="13"/>
  <c r="K106" i="13"/>
  <c r="L106" i="13"/>
  <c r="M106" i="13"/>
  <c r="B110" i="13"/>
  <c r="E110" i="13"/>
  <c r="B111" i="13"/>
  <c r="B112" i="13"/>
  <c r="D111" i="13"/>
  <c r="B114" i="13"/>
  <c r="C115" i="13"/>
  <c r="B115" i="13"/>
  <c r="D22" i="4"/>
  <c r="D26" i="4" s="1"/>
  <c r="D21" i="4"/>
  <c r="D25" i="4" s="1"/>
  <c r="D19" i="4"/>
  <c r="D23" i="4" s="1"/>
  <c r="D18" i="4"/>
  <c r="D17" i="4"/>
  <c r="D15" i="4"/>
  <c r="D14" i="4"/>
  <c r="D13" i="4"/>
  <c r="D12" i="4"/>
  <c r="D9" i="4"/>
  <c r="D11" i="5"/>
  <c r="F11" i="5" s="1"/>
  <c r="D10" i="5"/>
  <c r="F10" i="5" s="1"/>
  <c r="D8" i="5"/>
  <c r="F8" i="5" s="1"/>
  <c r="C57" i="10"/>
  <c r="D16" i="4" s="1"/>
  <c r="C60" i="10"/>
  <c r="D24" i="4" s="1"/>
  <c r="C95" i="10"/>
  <c r="C101" i="10"/>
  <c r="C103" i="10"/>
  <c r="C104" i="10"/>
  <c r="C97" i="10"/>
  <c r="C100" i="10"/>
  <c r="C102" i="10"/>
  <c r="C110" i="10"/>
  <c r="C61" i="10"/>
  <c r="E3" i="3"/>
  <c r="E8" i="4"/>
  <c r="B44" i="4" s="1"/>
  <c r="E3" i="2"/>
  <c r="F18" i="2" s="1"/>
  <c r="G18" i="2" s="1"/>
  <c r="C92" i="10"/>
  <c r="H39" i="2"/>
  <c r="C58" i="10"/>
  <c r="D6" i="2" s="1"/>
  <c r="C59" i="10"/>
  <c r="E127" i="13"/>
  <c r="B129" i="13"/>
  <c r="D128" i="13" s="1"/>
  <c r="E128" i="13" s="1"/>
  <c r="C132" i="13"/>
  <c r="C133" i="13" s="1"/>
  <c r="D132" i="13" s="1"/>
  <c r="B132" i="13"/>
  <c r="B131" i="13"/>
  <c r="B123" i="13"/>
  <c r="C123" i="13"/>
  <c r="D123" i="13"/>
  <c r="E123" i="13"/>
  <c r="F123" i="13"/>
  <c r="G123" i="13"/>
  <c r="H123" i="13"/>
  <c r="I123" i="13"/>
  <c r="J123" i="13"/>
  <c r="K123" i="13"/>
  <c r="L123" i="13"/>
  <c r="M123" i="13"/>
  <c r="B128" i="13"/>
  <c r="B127" i="13"/>
  <c r="C98" i="10"/>
  <c r="G3" i="12" s="1"/>
  <c r="H3" i="12" s="1"/>
  <c r="C99" i="10"/>
  <c r="G4" i="12" s="1"/>
  <c r="H4" i="12" s="1"/>
  <c r="C113" i="10"/>
  <c r="C114" i="10"/>
  <c r="C112" i="10"/>
  <c r="A7" i="4"/>
  <c r="A2" i="2"/>
  <c r="G31" i="2"/>
  <c r="F2" i="2"/>
  <c r="F2" i="3"/>
  <c r="C93" i="10"/>
  <c r="C55" i="10"/>
  <c r="B56" i="10"/>
  <c r="C56" i="10"/>
  <c r="C109" i="10"/>
  <c r="C115" i="10"/>
  <c r="C116" i="10"/>
  <c r="B140" i="13"/>
  <c r="C140" i="13"/>
  <c r="D140" i="13"/>
  <c r="E140" i="13"/>
  <c r="F140" i="13"/>
  <c r="G140" i="13"/>
  <c r="H140" i="13"/>
  <c r="I140" i="13"/>
  <c r="J140" i="13"/>
  <c r="K140" i="13"/>
  <c r="L140" i="13"/>
  <c r="B143" i="13"/>
  <c r="B144" i="13"/>
  <c r="B145" i="13"/>
  <c r="B147" i="13"/>
  <c r="F5" i="12"/>
  <c r="B7" i="12"/>
  <c r="F7" i="4"/>
  <c r="G29" i="4" l="1"/>
  <c r="F44" i="4"/>
  <c r="G44" i="4" s="1"/>
  <c r="D32" i="4"/>
  <c r="F32" i="4" s="1"/>
  <c r="G32" i="4" s="1"/>
  <c r="D18" i="5"/>
  <c r="F18" i="5" s="1"/>
  <c r="G18" i="5" s="1"/>
  <c r="I18" i="5" s="1"/>
  <c r="F20" i="4"/>
  <c r="G20" i="4" s="1"/>
  <c r="F6" i="3"/>
  <c r="G6" i="3" s="1"/>
  <c r="F5" i="3"/>
  <c r="G5" i="3" s="1"/>
  <c r="D8" i="3"/>
  <c r="F8" i="3" s="1"/>
  <c r="G8" i="3" s="1"/>
  <c r="I8" i="3" s="1"/>
  <c r="D20" i="2"/>
  <c r="D14" i="5"/>
  <c r="F14" i="5" s="1"/>
  <c r="G14" i="5" s="1"/>
  <c r="I14" i="5" s="1"/>
  <c r="D27" i="4"/>
  <c r="F27" i="4" s="1"/>
  <c r="G27" i="4" s="1"/>
  <c r="D9" i="3"/>
  <c r="F9" i="3" s="1"/>
  <c r="G9" i="3" s="1"/>
  <c r="I9" i="3" s="1"/>
  <c r="D33" i="4"/>
  <c r="F33" i="4" s="1"/>
  <c r="G33" i="4" s="1"/>
  <c r="D21" i="2"/>
  <c r="F21" i="2" s="1"/>
  <c r="G21" i="2" s="1"/>
  <c r="D19" i="5"/>
  <c r="F19" i="5" s="1"/>
  <c r="G19" i="5" s="1"/>
  <c r="I19" i="5" s="1"/>
  <c r="D31" i="5"/>
  <c r="F31" i="5" s="1"/>
  <c r="D22" i="3"/>
  <c r="F22" i="3" s="1"/>
  <c r="G22" i="3" s="1"/>
  <c r="I22" i="3" s="1"/>
  <c r="D35" i="2"/>
  <c r="F35" i="2" s="1"/>
  <c r="G35" i="2" s="1"/>
  <c r="D15" i="5"/>
  <c r="F15" i="5" s="1"/>
  <c r="G15" i="5" s="1"/>
  <c r="I15" i="5" s="1"/>
  <c r="D28" i="4"/>
  <c r="F28" i="4" s="1"/>
  <c r="G28" i="4" s="1"/>
  <c r="F4" i="2"/>
  <c r="G4" i="2" s="1"/>
  <c r="F40" i="4"/>
  <c r="G40" i="4" s="1"/>
  <c r="F15" i="3"/>
  <c r="G15" i="3" s="1"/>
  <c r="I15" i="3" s="1"/>
  <c r="F25" i="5"/>
  <c r="G25" i="5" s="1"/>
  <c r="I25" i="5" s="1"/>
  <c r="D38" i="2"/>
  <c r="F38" i="2" s="1"/>
  <c r="G38" i="2" s="1"/>
  <c r="D35" i="5"/>
  <c r="F35" i="5" s="1"/>
  <c r="D52" i="4"/>
  <c r="F52" i="4" s="1"/>
  <c r="G52" i="4" s="1"/>
  <c r="D25" i="3"/>
  <c r="F25" i="3" s="1"/>
  <c r="G25" i="3" s="1"/>
  <c r="I25" i="3" s="1"/>
  <c r="D34" i="5"/>
  <c r="F34" i="5" s="1"/>
  <c r="D51" i="4"/>
  <c r="F51" i="4" s="1"/>
  <c r="G51" i="4" s="1"/>
  <c r="D24" i="3"/>
  <c r="F24" i="3" s="1"/>
  <c r="G24" i="3" s="1"/>
  <c r="I24" i="3" s="1"/>
  <c r="D37" i="2"/>
  <c r="F37" i="2" s="1"/>
  <c r="G37" i="2" s="1"/>
  <c r="D33" i="5"/>
  <c r="F33" i="5" s="1"/>
  <c r="D50" i="4"/>
  <c r="F50" i="4" s="1"/>
  <c r="G50" i="4" s="1"/>
  <c r="D23" i="3"/>
  <c r="F23" i="3" s="1"/>
  <c r="G23" i="3" s="1"/>
  <c r="I23" i="3" s="1"/>
  <c r="D36" i="2"/>
  <c r="F36" i="2" s="1"/>
  <c r="G36" i="2" s="1"/>
  <c r="D34" i="2"/>
  <c r="D32" i="5"/>
  <c r="F32" i="5" s="1"/>
  <c r="D49" i="4"/>
  <c r="F49" i="4" s="1"/>
  <c r="G49" i="4" s="1"/>
  <c r="D21" i="3"/>
  <c r="F21" i="3" s="1"/>
  <c r="G21" i="3" s="1"/>
  <c r="I21" i="3" s="1"/>
  <c r="F4" i="3"/>
  <c r="F9" i="2"/>
  <c r="G9" i="2" s="1"/>
  <c r="F11" i="2"/>
  <c r="G11" i="2" s="1"/>
  <c r="F13" i="2"/>
  <c r="G13" i="2" s="1"/>
  <c r="F7" i="2"/>
  <c r="G7" i="2" s="1"/>
  <c r="F12" i="2"/>
  <c r="G12" i="2" s="1"/>
  <c r="F6" i="2"/>
  <c r="G6" i="2" s="1"/>
  <c r="F8" i="2"/>
  <c r="G8" i="2" s="1"/>
  <c r="F17" i="2"/>
  <c r="G17" i="2" s="1"/>
  <c r="F21" i="4"/>
  <c r="G21" i="4" s="1"/>
  <c r="F14" i="2"/>
  <c r="G14" i="2" s="1"/>
  <c r="F23" i="2"/>
  <c r="G23" i="2" s="1"/>
  <c r="F15" i="4"/>
  <c r="D114" i="13"/>
  <c r="E114" i="13" s="1"/>
  <c r="D97" i="13"/>
  <c r="E97" i="13" s="1"/>
  <c r="E99" i="13" s="1"/>
  <c r="D10" i="2"/>
  <c r="F10" i="2" s="1"/>
  <c r="G10" i="2" s="1"/>
  <c r="D9" i="5"/>
  <c r="F9" i="5" s="1"/>
  <c r="D15" i="2"/>
  <c r="F15" i="2" s="1"/>
  <c r="G15" i="2" s="1"/>
  <c r="G11" i="5"/>
  <c r="I11" i="5" s="1"/>
  <c r="B146" i="13"/>
  <c r="F28" i="2"/>
  <c r="G28" i="2" s="1"/>
  <c r="G10" i="5"/>
  <c r="F20" i="2"/>
  <c r="G20" i="2" s="1"/>
  <c r="D131" i="13"/>
  <c r="D133" i="13" s="1"/>
  <c r="F14" i="4"/>
  <c r="G14" i="4" s="1"/>
  <c r="C116" i="13"/>
  <c r="D115" i="13" s="1"/>
  <c r="B79" i="13"/>
  <c r="D11" i="4"/>
  <c r="F11" i="4" s="1"/>
  <c r="G11" i="4" s="1"/>
  <c r="F22" i="2"/>
  <c r="G22" i="2" s="1"/>
  <c r="D16" i="2"/>
  <c r="F16" i="2" s="1"/>
  <c r="G16" i="2" s="1"/>
  <c r="F26" i="2"/>
  <c r="G26" i="2" s="1"/>
  <c r="F34" i="2"/>
  <c r="G34" i="2" s="1"/>
  <c r="D48" i="4"/>
  <c r="F48" i="4" s="1"/>
  <c r="F24" i="2"/>
  <c r="G24" i="2" s="1"/>
  <c r="H5" i="12"/>
  <c r="E131" i="13"/>
  <c r="E133" i="13" s="1"/>
  <c r="D82" i="13"/>
  <c r="E78" i="13"/>
  <c r="E82" i="13" s="1"/>
  <c r="E111" i="13"/>
  <c r="E116" i="13" s="1"/>
  <c r="F23" i="4"/>
  <c r="G23" i="4" s="1"/>
  <c r="F16" i="4"/>
  <c r="G16" i="4" s="1"/>
  <c r="F26" i="4"/>
  <c r="G26" i="4" s="1"/>
  <c r="F17" i="4"/>
  <c r="G17" i="4" s="1"/>
  <c r="F13" i="4"/>
  <c r="G13" i="4" s="1"/>
  <c r="F9" i="4"/>
  <c r="F19" i="4"/>
  <c r="G19" i="4" s="1"/>
  <c r="F25" i="4"/>
  <c r="G25" i="4" s="1"/>
  <c r="F12" i="4"/>
  <c r="G12" i="4" s="1"/>
  <c r="F18" i="4"/>
  <c r="G18" i="4" s="1"/>
  <c r="F22" i="4"/>
  <c r="G22" i="4" s="1"/>
  <c r="B130" i="13"/>
  <c r="B113" i="13"/>
  <c r="G33" i="2"/>
  <c r="B96" i="13"/>
  <c r="G32" i="5" l="1"/>
  <c r="I32" i="5"/>
  <c r="G35" i="5"/>
  <c r="I35" i="5"/>
  <c r="G33" i="5"/>
  <c r="I33" i="5"/>
  <c r="G34" i="5"/>
  <c r="I34" i="5"/>
  <c r="G31" i="5"/>
  <c r="I31" i="5"/>
  <c r="I26" i="3"/>
  <c r="G4" i="3"/>
  <c r="F26" i="3"/>
  <c r="G26" i="3" s="1"/>
  <c r="G27" i="3" s="1"/>
  <c r="G8" i="5"/>
  <c r="G15" i="4"/>
  <c r="D99" i="13"/>
  <c r="D116" i="13"/>
  <c r="G9" i="5"/>
  <c r="F24" i="4"/>
  <c r="G24" i="4" s="1"/>
  <c r="G9" i="4"/>
  <c r="I36" i="5" l="1"/>
  <c r="F36" i="5"/>
  <c r="G48" i="4"/>
  <c r="F53" i="4"/>
  <c r="G53" i="4" s="1"/>
  <c r="G54" i="4" s="1"/>
  <c r="G32" i="2"/>
  <c r="F39" i="2"/>
  <c r="G39" i="2" s="1"/>
  <c r="G40" i="2" s="1"/>
  <c r="G36" i="5" l="1"/>
  <c r="G37" i="5" s="1"/>
  <c r="B26" i="13"/>
  <c r="B28" i="13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2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50" authorId="2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51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&amp; Eva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33" authorId="1">
      <text>
        <r>
          <rPr>
            <b/>
            <sz val="8"/>
            <color indexed="81"/>
            <rFont val="Tahoma"/>
            <family val="2"/>
          </rPr>
          <t>Personlig ordning, spørg TR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<sst xmlns="http://schemas.openxmlformats.org/spreadsheetml/2006/main" count="630" uniqueCount="204">
  <si>
    <t>LØNTABEL</t>
  </si>
  <si>
    <t>pr.31.3.00</t>
  </si>
  <si>
    <t>lejrskole, hv</t>
  </si>
  <si>
    <t>lejrskole, lsh</t>
  </si>
  <si>
    <t>I ALT</t>
  </si>
  <si>
    <t>Øvelseslæ</t>
  </si>
  <si>
    <t>Lærer, Ny Løn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</si>
  <si>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</si>
  <si>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</si>
  <si>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</si>
  <si>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</si>
  <si>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</si>
  <si>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</si>
  <si>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</si>
  <si>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</si>
  <si>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</si>
  <si>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</si>
  <si>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MÅNEDSLØN</t>
  </si>
  <si>
    <t>ÅRSLØN</t>
  </si>
  <si>
    <t>Beskæftigelsesgrad:</t>
  </si>
  <si>
    <t>Lønsats pr:</t>
  </si>
  <si>
    <t>do ikke udd</t>
  </si>
  <si>
    <t>Timelø.udd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</si>
  <si>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</si>
  <si>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</si>
  <si>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</si>
  <si>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</si>
  <si>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</si>
  <si>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</si>
  <si>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</si>
  <si>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</si>
  <si>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</si>
  <si>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</si>
  <si>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</si>
  <si>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</si>
  <si>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</si>
  <si>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</si>
  <si>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</si>
  <si>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</si>
  <si>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</si>
  <si>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</si>
  <si>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</si>
  <si>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</si>
  <si>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</si>
  <si>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</si>
  <si>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</si>
  <si>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</si>
  <si>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</si>
  <si>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</si>
  <si>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</si>
  <si>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</si>
  <si>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</si>
  <si>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</si>
  <si>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</si>
  <si>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Centralt tillæg</t>
  </si>
  <si>
    <t>0-3 års anciennitet</t>
  </si>
  <si>
    <t>4-7 års anciennitet</t>
  </si>
  <si>
    <t>8-11 års anciennitet</t>
  </si>
  <si>
    <t>Uv-vejleder</t>
  </si>
  <si>
    <t>pr. år</t>
  </si>
  <si>
    <t>Min. 12 års ancien.</t>
  </si>
  <si>
    <t>Undervisningsvejleder</t>
  </si>
  <si>
    <t>Bhkl., Lukkede gruppe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</si>
  <si>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</si>
  <si>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</si>
  <si>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</si>
  <si>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</si>
  <si>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</si>
  <si>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</si>
  <si>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Se "farven på lønnen":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</si>
  <si>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</si>
  <si>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</si>
  <si>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</si>
  <si>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</si>
  <si>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</si>
  <si>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</si>
  <si>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</si>
  <si>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</si>
  <si>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Venlig hilsen BLF</t>
  </si>
  <si>
    <t>FORBEREDELSER</t>
  </si>
  <si>
    <t>Du skal have to papirer parat:</t>
  </si>
  <si>
    <t>Brun tekst: tal fra din lønseddel</t>
  </si>
  <si>
    <t>KREATIV BOGFØRING</t>
  </si>
  <si>
    <t>TR</t>
  </si>
  <si>
    <t>Lærere på OI og KA</t>
  </si>
  <si>
    <t xml:space="preserve"> </t>
  </si>
  <si>
    <t>*din aktivitetsplan/opgaveoversigt</t>
  </si>
  <si>
    <t>*din lønseddel</t>
  </si>
  <si>
    <t>Skoledagene kan variere fra skole til skole hen over året, men</t>
  </si>
  <si>
    <t>det samlede tal er 200.</t>
  </si>
  <si>
    <t>2012/13</t>
  </si>
  <si>
    <t>2011/12</t>
  </si>
  <si>
    <t>2013/14</t>
  </si>
  <si>
    <t xml:space="preserve">Undtagelser:   øvelsesskolelærere, flexjobbere, kombinationsbeskæftigede, frikøbte til organisationsarbejde og andre med særlige vilkår samt ikke-uddannede skal håndberegnes.         Spørg TR eller kredskontoret </t>
  </si>
  <si>
    <t>Særligt tillæg</t>
  </si>
  <si>
    <t>Undervisningstillæg for ansatte på ny løn</t>
  </si>
  <si>
    <t>Undervisningstillæg for ansatte på anc.løn</t>
  </si>
  <si>
    <t>Ulempegodtg</t>
  </si>
  <si>
    <t>Alle</t>
  </si>
  <si>
    <t>KA ekstra</t>
  </si>
  <si>
    <t>FTR</t>
  </si>
  <si>
    <t>FTR-S</t>
  </si>
  <si>
    <t>TR ny løn</t>
  </si>
  <si>
    <t>fast</t>
  </si>
  <si>
    <t>pr medarb.</t>
  </si>
  <si>
    <t>TR anc.løn</t>
  </si>
  <si>
    <t>FAMR</t>
  </si>
  <si>
    <t>AMR</t>
  </si>
  <si>
    <t>Repr skoleb.</t>
  </si>
  <si>
    <t>bhkl</t>
  </si>
  <si>
    <t>lærere</t>
  </si>
  <si>
    <t>Cand P/PD</t>
  </si>
  <si>
    <t>OK §5,9 bhkl</t>
  </si>
  <si>
    <t>KA, OI</t>
  </si>
  <si>
    <t>OK §5,3</t>
  </si>
  <si>
    <t>2 løntrin u. 4 års anc.</t>
  </si>
  <si>
    <t>4 løntrin alle</t>
  </si>
  <si>
    <t>Ulempegodtgørelse</t>
  </si>
  <si>
    <t>Cand Pæd/PD</t>
  </si>
  <si>
    <t>Fælles-TR</t>
  </si>
  <si>
    <t>Fælles-TR-sup</t>
  </si>
  <si>
    <t>TR, antal medarb</t>
  </si>
  <si>
    <t>Fælles-AMR-sup</t>
  </si>
  <si>
    <t>Fælles-AMR</t>
  </si>
  <si>
    <t>FAMR-S</t>
  </si>
  <si>
    <t>pr. år pr. medarb.</t>
  </si>
  <si>
    <t>Repr. i skolebest.</t>
  </si>
  <si>
    <t>Undervisningstimer:</t>
  </si>
  <si>
    <t>Lærer på UUM</t>
  </si>
  <si>
    <t>2 løntrin 0-4 år</t>
  </si>
  <si>
    <t>3 løntrin alle</t>
  </si>
  <si>
    <t>1 løntrin alle</t>
  </si>
  <si>
    <t>Ulempegodtgørelse ekstra KA</t>
  </si>
  <si>
    <t>Lærer på OI</t>
  </si>
  <si>
    <t>Lærer på KA</t>
  </si>
  <si>
    <t>OK § 5,3 OI og KA</t>
  </si>
  <si>
    <t>2014/15</t>
  </si>
  <si>
    <t xml:space="preserve">På opgaveoversigten angives undervisningstimer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</si>
  <si>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175 komp</t>
  </si>
  <si>
    <t>ny løn</t>
  </si>
  <si>
    <t>gl løn</t>
  </si>
  <si>
    <t>Centralt tillæg 175 t</t>
  </si>
  <si>
    <t>Lærer i 'Den lukkede gruppe'</t>
  </si>
  <si>
    <t>Lærer på UU Maglemosen</t>
  </si>
  <si>
    <t>Pensions-bidrag pr md</t>
  </si>
  <si>
    <t xml:space="preserve">Skoledagene kan variere fra skole til skole hen over året, </t>
  </si>
  <si>
    <t>men det samlede tal er 200.</t>
  </si>
  <si>
    <t>Sort tekst: landsaftale</t>
  </si>
  <si>
    <t>Blå tekst: Ballerup-aftale</t>
  </si>
  <si>
    <r>
      <rPr>
        <b/>
        <sz val="12"/>
        <rFont val="Arial"/>
        <family val="2"/>
      </rPr>
      <t xml:space="preserve">DER MANGLER 2 TING!              1. Fra 1. januar 2014 indgår et 'Fritvalgstillæg' på 0,60 % af lønnen, enten som løn eller som pension. Det står på forsiden af din lønseddel, men indgår pt. ikke i løntjekkeren.  2. Tillæg for lejrskole, weekend og helligdage: se fanebladet   </t>
    </r>
    <r>
      <rPr>
        <sz val="12"/>
        <rFont val="Arial"/>
        <family val="2"/>
      </rPr>
      <t xml:space="preserve">  </t>
    </r>
  </si>
  <si>
    <t>Ulempegodtgørelse (§ 11 i Underbilag 2.1 i Lov 409)</t>
  </si>
  <si>
    <t xml:space="preserve">For tjeneste på bestemte tidspunkter ydes et tillæg på 25 % af nettotimelønnen </t>
  </si>
  <si>
    <t>Arbejdet skal være 'efter ordre eller godkendt tjenesteplan'.</t>
  </si>
  <si>
    <t>Nettotimeløn:</t>
  </si>
  <si>
    <t>skriv her</t>
  </si>
  <si>
    <t>Kan ses på lønsedlen eller beregnes her på løntjekkeren</t>
  </si>
  <si>
    <t>Weekender lørdag kl 00 - søndag kl 24</t>
  </si>
  <si>
    <t>Søgnehelligdage kl 00-24</t>
  </si>
  <si>
    <t>Grundlovsdag 5. juni kl 12-24</t>
  </si>
  <si>
    <t>Juleaftensdag kl 14-24</t>
  </si>
  <si>
    <t>§ 11 ulempeg</t>
  </si>
  <si>
    <t>incl. faste tillæg, dog mindst 26,12 kr (i niveau 31.3.2000), i nutidskroner:</t>
  </si>
  <si>
    <t>Weekendgodtgørelse (§ 12 i Underbilag 2.1 i Lov 409)</t>
  </si>
  <si>
    <t xml:space="preserve">varighed med et tillæg på 50 % eller med timeløn med et tillæg på 50 % - der ydes herudover </t>
  </si>
  <si>
    <t>tillæg efter  § 11 (se herover) - se mere i lovteksten.</t>
  </si>
  <si>
    <t>Kan konverteres til afspadsering - se mere i lovteksten.</t>
  </si>
  <si>
    <t>Arbejde i weekender eller på søgnehelligdage godtgøres med afspadsering af samme</t>
  </si>
  <si>
    <t>Lærer på almen skole</t>
  </si>
  <si>
    <t>(alle de andre skoler)</t>
  </si>
  <si>
    <t>Start med at skrive  1 ud for din skole!</t>
  </si>
  <si>
    <t>(eller på anciennitetsløn/'gammel løn')</t>
  </si>
  <si>
    <t>3 løntrin</t>
  </si>
  <si>
    <t>1 løntrin</t>
  </si>
  <si>
    <t>Komp. 175 t tjenestemænd</t>
  </si>
  <si>
    <t>Komp. 175 t ok-ansatte</t>
  </si>
  <si>
    <t>Grå tekst: pensionsbidr. tjenestem.</t>
  </si>
  <si>
    <t xml:space="preserve">       </t>
  </si>
  <si>
    <t>Centralt anciennitetstillæg</t>
  </si>
  <si>
    <t>UUM OI KA</t>
  </si>
  <si>
    <t>Lærer i C-BUR</t>
  </si>
  <si>
    <t>hvis ja: 1</t>
  </si>
  <si>
    <t>UVT NL 1</t>
  </si>
  <si>
    <t>læ + bh 300-750</t>
  </si>
  <si>
    <t>UVT NL 2</t>
  </si>
  <si>
    <t>læ &gt;750, bh &gt;836</t>
  </si>
  <si>
    <t>Uv-timer over 750. t.*</t>
  </si>
  <si>
    <t>* undervisningstillæg kun for C_BUR</t>
  </si>
  <si>
    <t>** undervisningstilæg for alle undtagen C-BUR</t>
  </si>
  <si>
    <t>2015/16</t>
  </si>
  <si>
    <t xml:space="preserve">  Skoledagene kan variere fra skole til skole hen over året, </t>
  </si>
  <si>
    <t xml:space="preserve">  men det samlede tal er 200.</t>
  </si>
  <si>
    <t>Der er en ekstra dag i skoleåret, fordi 2016 er skudår.</t>
  </si>
  <si>
    <t>Det ændrer ikke på årsnormen!</t>
  </si>
  <si>
    <t>776-800</t>
  </si>
  <si>
    <t>op til 750</t>
  </si>
  <si>
    <t>751-775</t>
  </si>
  <si>
    <t>Uv-timer 0-750 t.</t>
  </si>
  <si>
    <t>Uv-timer 751-775 t.</t>
  </si>
  <si>
    <t>Uv-timer 776-800 t.</t>
  </si>
  <si>
    <t>Uv-timer 0-750 t.**</t>
  </si>
  <si>
    <t>Uv-timer 751-775 t.**</t>
  </si>
  <si>
    <t>Uv-timer 776-800 t.**</t>
  </si>
  <si>
    <t>Uv-timer 0-750. t.*</t>
  </si>
  <si>
    <t xml:space="preserve"> 1.10.2015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</si>
</sst>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#,##0.0"/>
    <numFmt numFmtId="169" formatCode="#,##0.000"/>
    <numFmt numFmtId="170" formatCode="_(* #,##0.000000_);_(* \(#,##0.000000\);_(* &quot;-&quot;??_);_(@_)"/>
    <numFmt numFmtId="171" formatCode="_(* #,##0_);_(* \(#,##0\);_(* &quot;-&quot;??_);_(@_)"/>
  </numFmts>
  <fonts count="5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i/>
      <sz val="11"/>
      <color indexed="8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sz val="10"/>
      <color rgb="FF800000"/>
      <name val="Arial"/>
      <family val="2"/>
    </font>
    <font>
      <b/>
      <sz val="11"/>
      <color rgb="FF800000"/>
      <name val="Arial"/>
      <family val="2"/>
    </font>
    <font>
      <b/>
      <sz val="8"/>
      <color indexed="55"/>
      <name val="Arial"/>
      <family val="2"/>
    </font>
    <font>
      <b/>
      <sz val="11"/>
      <color rgb="FF969696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62">
    <xf numFmtId="0" fontId="0" fillId="0" borderId="0" xfId="0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0" fontId="0" fillId="0" borderId="0" xfId="1" applyNumberFormat="1" applyFont="1" applyBorder="1" applyProtection="1"/>
    <xf numFmtId="170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0" fillId="0" borderId="0" xfId="0" applyNumberFormat="1" applyFont="1"/>
    <xf numFmtId="0" fontId="0" fillId="0" borderId="13" xfId="0" applyBorder="1" applyAlignment="1">
      <alignment horizontal="right"/>
    </xf>
    <xf numFmtId="165" fontId="0" fillId="0" borderId="14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6" xfId="0" applyBorder="1"/>
    <xf numFmtId="0" fontId="0" fillId="0" borderId="17" xfId="0" applyBorder="1"/>
    <xf numFmtId="164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1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18" xfId="1" applyFont="1" applyBorder="1" applyAlignment="1">
      <alignment horizontal="center"/>
    </xf>
    <xf numFmtId="170" fontId="0" fillId="0" borderId="14" xfId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164" fontId="11" fillId="0" borderId="14" xfId="1" applyFont="1" applyBorder="1" applyProtection="1"/>
    <xf numFmtId="4" fontId="15" fillId="0" borderId="0" xfId="0" applyNumberFormat="1" applyFont="1"/>
    <xf numFmtId="0" fontId="0" fillId="0" borderId="12" xfId="0" applyBorder="1"/>
    <xf numFmtId="166" fontId="0" fillId="0" borderId="24" xfId="0" applyNumberFormat="1" applyBorder="1"/>
    <xf numFmtId="166" fontId="0" fillId="0" borderId="25" xfId="0" applyNumberFormat="1" applyBorder="1"/>
    <xf numFmtId="166" fontId="3" fillId="0" borderId="26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3" fontId="9" fillId="0" borderId="27" xfId="0" applyNumberFormat="1" applyFont="1" applyBorder="1"/>
    <xf numFmtId="3" fontId="14" fillId="0" borderId="0" xfId="0" applyNumberFormat="1" applyFont="1" applyAlignment="1">
      <alignment horizontal="center"/>
    </xf>
    <xf numFmtId="4" fontId="19" fillId="0" borderId="0" xfId="0" applyNumberFormat="1" applyFont="1" applyFill="1"/>
    <xf numFmtId="2" fontId="18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1" fontId="15" fillId="3" borderId="28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4" fontId="22" fillId="0" borderId="0" xfId="0" applyNumberFormat="1" applyFont="1" applyFill="1"/>
    <xf numFmtId="1" fontId="15" fillId="0" borderId="0" xfId="0" applyNumberFormat="1" applyFont="1" applyFill="1" applyAlignment="1">
      <alignment horizontal="center"/>
    </xf>
    <xf numFmtId="2" fontId="15" fillId="3" borderId="24" xfId="0" applyNumberFormat="1" applyFont="1" applyFill="1" applyBorder="1" applyAlignment="1">
      <alignment horizontal="right"/>
    </xf>
    <xf numFmtId="1" fontId="15" fillId="3" borderId="28" xfId="0" applyNumberFormat="1" applyFont="1" applyFill="1" applyBorder="1" applyAlignment="1" applyProtection="1">
      <alignment horizontal="center"/>
      <protection locked="0"/>
    </xf>
    <xf numFmtId="4" fontId="20" fillId="0" borderId="28" xfId="0" applyNumberFormat="1" applyFont="1" applyBorder="1" applyAlignment="1">
      <alignment horizontal="center"/>
    </xf>
    <xf numFmtId="2" fontId="15" fillId="0" borderId="34" xfId="0" applyNumberFormat="1" applyFont="1" applyFill="1" applyBorder="1" applyAlignment="1">
      <alignment horizontal="left"/>
    </xf>
    <xf numFmtId="4" fontId="15" fillId="0" borderId="35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8" fillId="0" borderId="2" xfId="0" applyNumberFormat="1" applyFont="1" applyFill="1" applyBorder="1" applyAlignment="1">
      <alignment horizontal="left"/>
    </xf>
    <xf numFmtId="3" fontId="17" fillId="0" borderId="36" xfId="0" applyNumberFormat="1" applyFont="1" applyBorder="1" applyAlignment="1">
      <alignment horizontal="center"/>
    </xf>
    <xf numFmtId="4" fontId="18" fillId="0" borderId="37" xfId="0" applyNumberFormat="1" applyFont="1" applyFill="1" applyBorder="1" applyAlignment="1">
      <alignment horizontal="left"/>
    </xf>
    <xf numFmtId="2" fontId="18" fillId="0" borderId="36" xfId="0" applyNumberFormat="1" applyFont="1" applyFill="1" applyBorder="1" applyAlignment="1">
      <alignment horizontal="left"/>
    </xf>
    <xf numFmtId="4" fontId="15" fillId="0" borderId="29" xfId="0" applyNumberFormat="1" applyFont="1" applyBorder="1"/>
    <xf numFmtId="2" fontId="15" fillId="0" borderId="30" xfId="0" applyNumberFormat="1" applyFont="1" applyFill="1" applyBorder="1" applyAlignment="1">
      <alignment horizontal="right"/>
    </xf>
    <xf numFmtId="2" fontId="15" fillId="0" borderId="30" xfId="0" applyNumberFormat="1" applyFont="1" applyFill="1" applyBorder="1" applyAlignment="1">
      <alignment horizontal="left"/>
    </xf>
    <xf numFmtId="4" fontId="15" fillId="0" borderId="30" xfId="0" applyNumberFormat="1" applyFont="1" applyFill="1" applyBorder="1" applyAlignment="1">
      <alignment horizontal="right"/>
    </xf>
    <xf numFmtId="4" fontId="15" fillId="0" borderId="31" xfId="0" applyNumberFormat="1" applyFont="1" applyFill="1" applyBorder="1" applyAlignment="1">
      <alignment horizontal="left"/>
    </xf>
    <xf numFmtId="4" fontId="15" fillId="0" borderId="34" xfId="0" applyNumberFormat="1" applyFont="1" applyBorder="1"/>
    <xf numFmtId="4" fontId="15" fillId="0" borderId="0" xfId="0" applyNumberFormat="1" applyFont="1" applyBorder="1"/>
    <xf numFmtId="4" fontId="18" fillId="0" borderId="0" xfId="0" applyNumberFormat="1" applyFont="1" applyBorder="1"/>
    <xf numFmtId="4" fontId="18" fillId="0" borderId="36" xfId="0" applyNumberFormat="1" applyFont="1" applyBorder="1"/>
    <xf numFmtId="4" fontId="21" fillId="0" borderId="0" xfId="0" applyNumberFormat="1" applyFont="1" applyBorder="1" applyAlignment="1">
      <alignment horizontal="center"/>
    </xf>
    <xf numFmtId="4" fontId="27" fillId="0" borderId="0" xfId="0" applyNumberFormat="1" applyFont="1" applyFill="1"/>
    <xf numFmtId="169" fontId="27" fillId="0" borderId="0" xfId="0" applyNumberFormat="1" applyFont="1" applyFill="1"/>
    <xf numFmtId="0" fontId="0" fillId="0" borderId="12" xfId="0" applyFill="1" applyBorder="1"/>
    <xf numFmtId="2" fontId="12" fillId="0" borderId="30" xfId="0" applyNumberFormat="1" applyFont="1" applyFill="1" applyBorder="1" applyAlignment="1">
      <alignment horizontal="right"/>
    </xf>
    <xf numFmtId="2" fontId="8" fillId="0" borderId="30" xfId="0" applyNumberFormat="1" applyFont="1" applyFill="1" applyBorder="1" applyAlignment="1">
      <alignment horizontal="left"/>
    </xf>
    <xf numFmtId="4" fontId="8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left"/>
    </xf>
    <xf numFmtId="2" fontId="16" fillId="0" borderId="0" xfId="0" applyNumberFormat="1" applyFont="1" applyFill="1" applyAlignment="1">
      <alignment horizontal="right"/>
    </xf>
    <xf numFmtId="4" fontId="20" fillId="0" borderId="0" xfId="0" applyNumberFormat="1" applyFont="1"/>
    <xf numFmtId="0" fontId="31" fillId="0" borderId="0" xfId="0" applyFont="1"/>
    <xf numFmtId="0" fontId="26" fillId="4" borderId="36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26" fillId="4" borderId="37" xfId="0" applyFont="1" applyFill="1" applyBorder="1"/>
    <xf numFmtId="0" fontId="29" fillId="4" borderId="40" xfId="0" applyFont="1" applyFill="1" applyBorder="1"/>
    <xf numFmtId="0" fontId="34" fillId="4" borderId="3" xfId="0" applyFont="1" applyFill="1" applyBorder="1"/>
    <xf numFmtId="3" fontId="35" fillId="0" borderId="0" xfId="0" applyNumberFormat="1" applyFont="1"/>
    <xf numFmtId="4" fontId="35" fillId="0" borderId="0" xfId="0" applyNumberFormat="1" applyFont="1"/>
    <xf numFmtId="4" fontId="29" fillId="0" borderId="0" xfId="0" applyNumberFormat="1" applyFont="1" applyBorder="1"/>
    <xf numFmtId="3" fontId="9" fillId="0" borderId="0" xfId="0" applyNumberFormat="1" applyFont="1" applyBorder="1"/>
    <xf numFmtId="2" fontId="36" fillId="5" borderId="0" xfId="0" applyNumberFormat="1" applyFont="1" applyFill="1" applyBorder="1" applyAlignment="1" applyProtection="1">
      <alignment horizontal="right"/>
      <protection locked="0"/>
    </xf>
    <xf numFmtId="2" fontId="6" fillId="3" borderId="28" xfId="0" applyNumberFormat="1" applyFont="1" applyFill="1" applyBorder="1" applyAlignment="1">
      <alignment horizontal="right"/>
    </xf>
    <xf numFmtId="4" fontId="4" fillId="0" borderId="0" xfId="0" applyNumberFormat="1" applyFont="1"/>
    <xf numFmtId="171" fontId="11" fillId="0" borderId="14" xfId="1" applyNumberFormat="1" applyFont="1" applyBorder="1" applyProtection="1"/>
    <xf numFmtId="3" fontId="37" fillId="0" borderId="0" xfId="0" applyNumberFormat="1" applyFont="1" applyAlignment="1">
      <alignment horizontal="center"/>
    </xf>
    <xf numFmtId="167" fontId="6" fillId="3" borderId="28" xfId="0" applyNumberFormat="1" applyFont="1" applyFill="1" applyBorder="1" applyAlignment="1">
      <alignment horizontal="right"/>
    </xf>
    <xf numFmtId="0" fontId="0" fillId="0" borderId="0" xfId="0"/>
    <xf numFmtId="0" fontId="11" fillId="0" borderId="0" xfId="0" applyFont="1"/>
    <xf numFmtId="164" fontId="11" fillId="0" borderId="15" xfId="1" applyFont="1" applyBorder="1" applyAlignment="1">
      <alignment horizontal="center"/>
    </xf>
    <xf numFmtId="0" fontId="38" fillId="0" borderId="12" xfId="0" applyFont="1" applyBorder="1"/>
    <xf numFmtId="0" fontId="38" fillId="8" borderId="12" xfId="0" applyFont="1" applyFill="1" applyBorder="1"/>
    <xf numFmtId="4" fontId="20" fillId="9" borderId="34" xfId="0" applyNumberFormat="1" applyFont="1" applyFill="1" applyBorder="1"/>
    <xf numFmtId="0" fontId="0" fillId="0" borderId="0" xfId="0"/>
    <xf numFmtId="164" fontId="4" fillId="2" borderId="39" xfId="1" applyFont="1" applyFill="1" applyBorder="1"/>
    <xf numFmtId="164" fontId="4" fillId="2" borderId="3" xfId="1" applyFont="1" applyFill="1" applyBorder="1"/>
    <xf numFmtId="0" fontId="0" fillId="2" borderId="2" xfId="0" applyFill="1" applyBorder="1"/>
    <xf numFmtId="164" fontId="4" fillId="2" borderId="40" xfId="1" applyFont="1" applyFill="1" applyBorder="1"/>
    <xf numFmtId="0" fontId="0" fillId="2" borderId="36" xfId="0" applyFill="1" applyBorder="1"/>
    <xf numFmtId="0" fontId="0" fillId="2" borderId="37" xfId="0" applyFill="1" applyBorder="1"/>
    <xf numFmtId="164" fontId="0" fillId="0" borderId="38" xfId="1" applyFont="1" applyBorder="1"/>
    <xf numFmtId="164" fontId="0" fillId="0" borderId="38" xfId="1" applyFont="1" applyBorder="1" applyAlignment="1">
      <alignment horizontal="center"/>
    </xf>
    <xf numFmtId="164" fontId="0" fillId="2" borderId="34" xfId="1" applyFont="1" applyFill="1" applyBorder="1"/>
    <xf numFmtId="0" fontId="0" fillId="2" borderId="34" xfId="0" applyFill="1" applyBorder="1"/>
    <xf numFmtId="0" fontId="0" fillId="2" borderId="35" xfId="0" applyFill="1" applyBorder="1"/>
    <xf numFmtId="164" fontId="0" fillId="2" borderId="36" xfId="1" applyFont="1" applyFill="1" applyBorder="1"/>
    <xf numFmtId="0" fontId="0" fillId="0" borderId="0" xfId="0"/>
    <xf numFmtId="165" fontId="0" fillId="0" borderId="0" xfId="0" applyNumberFormat="1"/>
    <xf numFmtId="0" fontId="0" fillId="0" borderId="0" xfId="0"/>
    <xf numFmtId="4" fontId="21" fillId="0" borderId="0" xfId="0" applyNumberFormat="1" applyFont="1" applyBorder="1" applyAlignment="1">
      <alignment horizontal="center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0" fontId="40" fillId="0" borderId="0" xfId="0" applyFont="1"/>
    <xf numFmtId="164" fontId="40" fillId="0" borderId="18" xfId="1" applyFont="1" applyBorder="1" applyAlignment="1">
      <alignment horizontal="center"/>
    </xf>
    <xf numFmtId="164" fontId="40" fillId="0" borderId="12" xfId="1" applyFont="1" applyBorder="1" applyAlignment="1">
      <alignment horizontal="center"/>
    </xf>
    <xf numFmtId="164" fontId="40" fillId="0" borderId="12" xfId="1" applyFont="1" applyBorder="1"/>
    <xf numFmtId="4" fontId="44" fillId="0" borderId="28" xfId="0" applyNumberFormat="1" applyFont="1" applyBorder="1" applyAlignment="1">
      <alignment horizontal="center"/>
    </xf>
    <xf numFmtId="4" fontId="46" fillId="0" borderId="28" xfId="0" applyNumberFormat="1" applyFont="1" applyBorder="1"/>
    <xf numFmtId="4" fontId="45" fillId="0" borderId="30" xfId="0" applyNumberFormat="1" applyFont="1" applyBorder="1"/>
    <xf numFmtId="4" fontId="46" fillId="0" borderId="31" xfId="0" applyNumberFormat="1" applyFont="1" applyBorder="1"/>
    <xf numFmtId="4" fontId="45" fillId="0" borderId="0" xfId="0" applyNumberFormat="1" applyFont="1"/>
    <xf numFmtId="2" fontId="41" fillId="0" borderId="0" xfId="0" applyNumberFormat="1" applyFont="1" applyFill="1" applyBorder="1" applyAlignment="1">
      <alignment horizontal="left"/>
    </xf>
    <xf numFmtId="164" fontId="15" fillId="0" borderId="0" xfId="1" applyFont="1" applyFill="1" applyAlignment="1">
      <alignment horizontal="right"/>
    </xf>
    <xf numFmtId="164" fontId="15" fillId="0" borderId="34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left"/>
    </xf>
    <xf numFmtId="4" fontId="47" fillId="0" borderId="0" xfId="0" applyNumberFormat="1" applyFont="1" applyBorder="1"/>
    <xf numFmtId="164" fontId="47" fillId="0" borderId="0" xfId="1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left"/>
    </xf>
    <xf numFmtId="4" fontId="47" fillId="0" borderId="36" xfId="0" applyNumberFormat="1" applyFont="1" applyBorder="1"/>
    <xf numFmtId="3" fontId="48" fillId="0" borderId="36" xfId="0" applyNumberFormat="1" applyFont="1" applyBorder="1" applyAlignment="1">
      <alignment horizontal="center"/>
    </xf>
    <xf numFmtId="164" fontId="47" fillId="0" borderId="36" xfId="1" applyFont="1" applyFill="1" applyBorder="1" applyAlignment="1">
      <alignment horizontal="right"/>
    </xf>
    <xf numFmtId="2" fontId="47" fillId="0" borderId="36" xfId="0" applyNumberFormat="1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/>
    <xf numFmtId="2" fontId="47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left"/>
    </xf>
    <xf numFmtId="164" fontId="47" fillId="0" borderId="0" xfId="1" applyFont="1" applyFill="1" applyAlignment="1">
      <alignment horizontal="right"/>
    </xf>
    <xf numFmtId="1" fontId="47" fillId="3" borderId="28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Alignment="1">
      <alignment horizontal="left"/>
    </xf>
    <xf numFmtId="4" fontId="49" fillId="0" borderId="0" xfId="0" applyNumberFormat="1" applyFont="1"/>
    <xf numFmtId="4" fontId="21" fillId="0" borderId="0" xfId="0" applyNumberFormat="1" applyFont="1" applyBorder="1" applyAlignment="1">
      <alignment horizontal="left"/>
    </xf>
    <xf numFmtId="4" fontId="45" fillId="0" borderId="0" xfId="0" applyNumberFormat="1" applyFont="1" applyBorder="1"/>
    <xf numFmtId="164" fontId="45" fillId="0" borderId="0" xfId="1" applyFont="1" applyFill="1" applyBorder="1" applyAlignment="1">
      <alignment horizontal="right"/>
    </xf>
    <xf numFmtId="164" fontId="14" fillId="3" borderId="30" xfId="1" applyFont="1" applyFill="1" applyBorder="1" applyAlignment="1">
      <alignment horizontal="left"/>
    </xf>
    <xf numFmtId="164" fontId="15" fillId="0" borderId="0" xfId="1" applyFont="1" applyFill="1" applyAlignment="1">
      <alignment horizontal="center"/>
    </xf>
    <xf numFmtId="164" fontId="18" fillId="0" borderId="0" xfId="1" applyFont="1" applyFill="1" applyBorder="1" applyAlignment="1">
      <alignment horizontal="right"/>
    </xf>
    <xf numFmtId="164" fontId="15" fillId="0" borderId="30" xfId="1" applyFont="1" applyFill="1" applyBorder="1" applyAlignment="1">
      <alignment horizontal="right"/>
    </xf>
    <xf numFmtId="164" fontId="8" fillId="0" borderId="30" xfId="1" applyFont="1" applyFill="1" applyBorder="1" applyAlignment="1">
      <alignment horizontal="right"/>
    </xf>
    <xf numFmtId="164" fontId="8" fillId="0" borderId="0" xfId="1" applyFont="1" applyFill="1" applyAlignment="1">
      <alignment horizontal="right"/>
    </xf>
    <xf numFmtId="164" fontId="7" fillId="0" borderId="0" xfId="1" applyFont="1" applyFill="1" applyAlignment="1">
      <alignment horizontal="right"/>
    </xf>
    <xf numFmtId="164" fontId="15" fillId="0" borderId="32" xfId="1" applyFont="1" applyBorder="1"/>
    <xf numFmtId="164" fontId="45" fillId="0" borderId="32" xfId="1" applyFont="1" applyBorder="1"/>
    <xf numFmtId="164" fontId="15" fillId="0" borderId="33" xfId="1" applyFont="1" applyBorder="1"/>
    <xf numFmtId="164" fontId="45" fillId="0" borderId="33" xfId="1" applyFont="1" applyBorder="1"/>
    <xf numFmtId="164" fontId="18" fillId="0" borderId="36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left"/>
    </xf>
    <xf numFmtId="164" fontId="15" fillId="0" borderId="2" xfId="1" applyFont="1" applyFill="1" applyBorder="1" applyAlignment="1">
      <alignment horizontal="left"/>
    </xf>
    <xf numFmtId="164" fontId="47" fillId="0" borderId="0" xfId="1" applyFont="1" applyFill="1" applyBorder="1" applyAlignment="1">
      <alignment horizontal="left"/>
    </xf>
    <xf numFmtId="164" fontId="47" fillId="0" borderId="0" xfId="1" applyFont="1" applyFill="1" applyAlignment="1">
      <alignment horizontal="left"/>
    </xf>
    <xf numFmtId="164" fontId="15" fillId="0" borderId="0" xfId="1" applyFont="1" applyFill="1" applyAlignment="1">
      <alignment horizontal="left"/>
    </xf>
    <xf numFmtId="164" fontId="15" fillId="0" borderId="35" xfId="1" applyFont="1" applyFill="1" applyBorder="1" applyAlignment="1">
      <alignment horizontal="left"/>
    </xf>
    <xf numFmtId="164" fontId="47" fillId="0" borderId="2" xfId="1" applyFont="1" applyFill="1" applyBorder="1" applyAlignment="1">
      <alignment horizontal="left"/>
    </xf>
    <xf numFmtId="164" fontId="47" fillId="0" borderId="37" xfId="1" applyFont="1" applyFill="1" applyBorder="1" applyAlignment="1">
      <alignment horizontal="left"/>
    </xf>
    <xf numFmtId="0" fontId="0" fillId="0" borderId="0" xfId="0"/>
    <xf numFmtId="0" fontId="0" fillId="0" borderId="36" xfId="0" applyBorder="1"/>
    <xf numFmtId="0" fontId="0" fillId="0" borderId="0" xfId="0"/>
    <xf numFmtId="164" fontId="52" fillId="0" borderId="32" xfId="1" applyFont="1" applyBorder="1"/>
    <xf numFmtId="164" fontId="52" fillId="0" borderId="33" xfId="1" applyFont="1" applyBorder="1"/>
    <xf numFmtId="164" fontId="52" fillId="0" borderId="25" xfId="1" applyFont="1" applyFill="1" applyBorder="1" applyAlignment="1">
      <alignment horizontal="right"/>
    </xf>
    <xf numFmtId="4" fontId="53" fillId="0" borderId="28" xfId="0" applyNumberFormat="1" applyFont="1" applyBorder="1"/>
    <xf numFmtId="4" fontId="52" fillId="0" borderId="32" xfId="0" applyNumberFormat="1" applyFont="1" applyBorder="1"/>
    <xf numFmtId="4" fontId="52" fillId="0" borderId="33" xfId="0" applyNumberFormat="1" applyFont="1" applyBorder="1"/>
    <xf numFmtId="168" fontId="52" fillId="0" borderId="25" xfId="0" applyNumberFormat="1" applyFont="1" applyFill="1" applyBorder="1" applyAlignment="1">
      <alignment horizontal="right"/>
    </xf>
    <xf numFmtId="164" fontId="47" fillId="0" borderId="32" xfId="1" applyFont="1" applyBorder="1"/>
    <xf numFmtId="164" fontId="47" fillId="0" borderId="33" xfId="1" applyFont="1" applyBorder="1"/>
    <xf numFmtId="164" fontId="47" fillId="0" borderId="25" xfId="1" applyFont="1" applyFill="1" applyBorder="1" applyAlignment="1">
      <alignment horizontal="right"/>
    </xf>
    <xf numFmtId="0" fontId="37" fillId="0" borderId="0" xfId="0" applyFont="1"/>
    <xf numFmtId="166" fontId="37" fillId="0" borderId="0" xfId="0" applyNumberFormat="1" applyFont="1"/>
    <xf numFmtId="2" fontId="37" fillId="0" borderId="0" xfId="0" applyNumberFormat="1" applyFont="1"/>
    <xf numFmtId="17" fontId="38" fillId="0" borderId="34" xfId="0" applyNumberFormat="1" applyFont="1" applyBorder="1"/>
    <xf numFmtId="17" fontId="38" fillId="0" borderId="35" xfId="0" applyNumberFormat="1" applyFont="1" applyBorder="1"/>
    <xf numFmtId="0" fontId="38" fillId="0" borderId="45" xfId="0" applyFont="1" applyBorder="1"/>
    <xf numFmtId="0" fontId="38" fillId="0" borderId="46" xfId="0" applyFont="1" applyBorder="1"/>
    <xf numFmtId="0" fontId="38" fillId="8" borderId="45" xfId="0" applyFont="1" applyFill="1" applyBorder="1"/>
    <xf numFmtId="0" fontId="38" fillId="8" borderId="46" xfId="0" applyFont="1" applyFill="1" applyBorder="1"/>
    <xf numFmtId="0" fontId="0" fillId="0" borderId="3" xfId="0" applyBorder="1"/>
    <xf numFmtId="0" fontId="0" fillId="8" borderId="0" xfId="0" applyFill="1" applyBorder="1"/>
    <xf numFmtId="0" fontId="0" fillId="8" borderId="2" xfId="0" applyFill="1" applyBorder="1"/>
    <xf numFmtId="0" fontId="0" fillId="0" borderId="45" xfId="0" applyBorder="1"/>
    <xf numFmtId="0" fontId="0" fillId="0" borderId="2" xfId="0" applyBorder="1"/>
    <xf numFmtId="0" fontId="0" fillId="0" borderId="47" xfId="0" applyBorder="1"/>
    <xf numFmtId="0" fontId="0" fillId="0" borderId="48" xfId="0" applyBorder="1"/>
    <xf numFmtId="0" fontId="0" fillId="0" borderId="37" xfId="0" applyBorder="1"/>
    <xf numFmtId="0" fontId="11" fillId="8" borderId="0" xfId="0" applyFont="1" applyFill="1" applyBorder="1"/>
    <xf numFmtId="0" fontId="39" fillId="11" borderId="39" xfId="0" applyFont="1" applyFill="1" applyBorder="1"/>
    <xf numFmtId="0" fontId="38" fillId="11" borderId="45" xfId="0" applyFont="1" applyFill="1" applyBorder="1"/>
    <xf numFmtId="0" fontId="38" fillId="11" borderId="12" xfId="0" applyFont="1" applyFill="1" applyBorder="1"/>
    <xf numFmtId="0" fontId="38" fillId="11" borderId="46" xfId="0" applyFont="1" applyFill="1" applyBorder="1"/>
    <xf numFmtId="0" fontId="0" fillId="11" borderId="45" xfId="0" applyFill="1" applyBorder="1"/>
    <xf numFmtId="0" fontId="0" fillId="11" borderId="12" xfId="0" applyFill="1" applyBorder="1"/>
    <xf numFmtId="0" fontId="0" fillId="0" borderId="49" xfId="0" applyBorder="1"/>
    <xf numFmtId="0" fontId="0" fillId="0" borderId="0" xfId="0"/>
    <xf numFmtId="1" fontId="47" fillId="12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>
      <alignment horizontal="center"/>
    </xf>
    <xf numFmtId="0" fontId="0" fillId="8" borderId="28" xfId="0" applyFill="1" applyBorder="1"/>
    <xf numFmtId="0" fontId="0" fillId="0" borderId="0" xfId="0" quotePrefix="1"/>
    <xf numFmtId="2" fontId="15" fillId="3" borderId="24" xfId="0" applyNumberFormat="1" applyFont="1" applyFill="1" applyBorder="1" applyAlignment="1">
      <alignment horizontal="center"/>
    </xf>
    <xf numFmtId="4" fontId="10" fillId="0" borderId="0" xfId="0" applyNumberFormat="1" applyFont="1" applyAlignment="1"/>
    <xf numFmtId="3" fontId="35" fillId="0" borderId="0" xfId="0" applyNumberFormat="1" applyFont="1" applyAlignment="1"/>
    <xf numFmtId="3" fontId="10" fillId="0" borderId="0" xfId="0" applyNumberFormat="1" applyFont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4" fontId="15" fillId="0" borderId="0" xfId="0" applyNumberFormat="1" applyFont="1" applyFill="1" applyAlignment="1"/>
    <xf numFmtId="164" fontId="22" fillId="0" borderId="0" xfId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Alignment="1"/>
    <xf numFmtId="4" fontId="50" fillId="0" borderId="0" xfId="0" applyNumberFormat="1" applyFont="1" applyFill="1" applyAlignment="1"/>
    <xf numFmtId="4" fontId="15" fillId="0" borderId="0" xfId="0" applyNumberFormat="1" applyFont="1" applyAlignment="1"/>
    <xf numFmtId="164" fontId="15" fillId="0" borderId="32" xfId="1" applyFont="1" applyBorder="1" applyAlignment="1"/>
    <xf numFmtId="164" fontId="52" fillId="0" borderId="33" xfId="1" applyFont="1" applyBorder="1" applyAlignment="1"/>
    <xf numFmtId="4" fontId="19" fillId="0" borderId="0" xfId="0" applyNumberFormat="1" applyFont="1" applyFill="1" applyAlignment="1"/>
    <xf numFmtId="4" fontId="18" fillId="0" borderId="0" xfId="0" applyNumberFormat="1" applyFont="1" applyAlignment="1"/>
    <xf numFmtId="164" fontId="47" fillId="0" borderId="32" xfId="1" applyFont="1" applyBorder="1" applyAlignment="1"/>
    <xf numFmtId="4" fontId="45" fillId="0" borderId="0" xfId="0" applyNumberFormat="1" applyFont="1" applyBorder="1" applyAlignment="1"/>
    <xf numFmtId="164" fontId="47" fillId="0" borderId="33" xfId="1" applyFont="1" applyBorder="1" applyAlignment="1"/>
    <xf numFmtId="164" fontId="15" fillId="0" borderId="33" xfId="1" applyFont="1" applyBorder="1" applyAlignment="1"/>
    <xf numFmtId="4" fontId="47" fillId="0" borderId="0" xfId="0" applyNumberFormat="1" applyFont="1" applyBorder="1" applyAlignment="1"/>
    <xf numFmtId="164" fontId="52" fillId="0" borderId="32" xfId="1" applyFont="1" applyBorder="1" applyAlignment="1"/>
    <xf numFmtId="4" fontId="47" fillId="0" borderId="0" xfId="0" applyNumberFormat="1" applyFont="1" applyAlignment="1"/>
    <xf numFmtId="4" fontId="49" fillId="0" borderId="0" xfId="0" applyNumberFormat="1" applyFont="1" applyAlignment="1"/>
    <xf numFmtId="164" fontId="45" fillId="0" borderId="33" xfId="1" applyFont="1" applyBorder="1" applyAlignment="1"/>
    <xf numFmtId="4" fontId="15" fillId="0" borderId="29" xfId="0" applyNumberFormat="1" applyFont="1" applyBorder="1" applyAlignment="1"/>
    <xf numFmtId="4" fontId="46" fillId="0" borderId="28" xfId="0" applyNumberFormat="1" applyFont="1" applyBorder="1" applyAlignment="1"/>
    <xf numFmtId="4" fontId="53" fillId="0" borderId="28" xfId="0" applyNumberFormat="1" applyFont="1" applyBorder="1" applyAlignment="1"/>
    <xf numFmtId="4" fontId="45" fillId="0" borderId="30" xfId="0" applyNumberFormat="1" applyFont="1" applyBorder="1" applyAlignment="1"/>
    <xf numFmtId="4" fontId="46" fillId="0" borderId="31" xfId="0" applyNumberFormat="1" applyFont="1" applyBorder="1" applyAlignment="1"/>
    <xf numFmtId="4" fontId="29" fillId="0" borderId="0" xfId="0" applyNumberFormat="1" applyFont="1" applyBorder="1" applyAlignment="1"/>
    <xf numFmtId="4" fontId="27" fillId="0" borderId="0" xfId="0" applyNumberFormat="1" applyFont="1" applyFill="1" applyAlignment="1"/>
    <xf numFmtId="3" fontId="9" fillId="0" borderId="0" xfId="0" applyNumberFormat="1" applyFont="1" applyBorder="1" applyAlignment="1"/>
    <xf numFmtId="4" fontId="20" fillId="0" borderId="0" xfId="0" applyNumberFormat="1" applyFont="1" applyAlignment="1"/>
    <xf numFmtId="4" fontId="45" fillId="0" borderId="0" xfId="0" applyNumberFormat="1" applyFont="1" applyAlignment="1"/>
    <xf numFmtId="4" fontId="8" fillId="0" borderId="0" xfId="0" applyNumberFormat="1" applyFont="1" applyAlignment="1"/>
    <xf numFmtId="2" fontId="39" fillId="0" borderId="0" xfId="0" applyNumberFormat="1" applyFont="1" applyFill="1" applyBorder="1" applyAlignment="1">
      <alignment horizontal="left"/>
    </xf>
    <xf numFmtId="0" fontId="0" fillId="0" borderId="0" xfId="0"/>
    <xf numFmtId="0" fontId="57" fillId="0" borderId="12" xfId="0" applyFont="1" applyBorder="1"/>
    <xf numFmtId="0" fontId="57" fillId="8" borderId="12" xfId="0" applyFont="1" applyFill="1" applyBorder="1"/>
    <xf numFmtId="0" fontId="31" fillId="0" borderId="12" xfId="0" applyFont="1" applyBorder="1"/>
    <xf numFmtId="166" fontId="31" fillId="0" borderId="24" xfId="0" applyNumberFormat="1" applyFont="1" applyBorder="1"/>
    <xf numFmtId="166" fontId="31" fillId="0" borderId="25" xfId="0" applyNumberFormat="1" applyFont="1" applyBorder="1"/>
    <xf numFmtId="0" fontId="31" fillId="0" borderId="12" xfId="0" applyFont="1" applyFill="1" applyBorder="1"/>
    <xf numFmtId="166" fontId="26" fillId="0" borderId="26" xfId="0" applyNumberFormat="1" applyFont="1" applyBorder="1"/>
    <xf numFmtId="0" fontId="31" fillId="0" borderId="0" xfId="0" applyFont="1" applyBorder="1"/>
    <xf numFmtId="17" fontId="31" fillId="0" borderId="0" xfId="0" applyNumberFormat="1" applyFont="1"/>
    <xf numFmtId="0" fontId="31" fillId="13" borderId="29" xfId="0" applyFont="1" applyFill="1" applyBorder="1"/>
    <xf numFmtId="0" fontId="31" fillId="13" borderId="30" xfId="0" applyFont="1" applyFill="1" applyBorder="1"/>
    <xf numFmtId="0" fontId="31" fillId="13" borderId="31" xfId="0" applyFont="1" applyFill="1" applyBorder="1"/>
    <xf numFmtId="2" fontId="50" fillId="0" borderId="0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center"/>
    </xf>
    <xf numFmtId="3" fontId="35" fillId="0" borderId="50" xfId="0" applyNumberFormat="1" applyFont="1" applyBorder="1" applyAlignment="1"/>
    <xf numFmtId="3" fontId="35" fillId="0" borderId="51" xfId="0" applyNumberFormat="1" applyFont="1" applyBorder="1" applyAlignment="1"/>
    <xf numFmtId="164" fontId="27" fillId="0" borderId="3" xfId="1" applyFont="1" applyFill="1" applyBorder="1" applyAlignment="1"/>
    <xf numFmtId="4" fontId="19" fillId="0" borderId="51" xfId="0" applyNumberFormat="1" applyFont="1" applyFill="1" applyBorder="1" applyAlignment="1"/>
    <xf numFmtId="164" fontId="27" fillId="0" borderId="54" xfId="1" applyFont="1" applyFill="1" applyBorder="1" applyAlignment="1"/>
    <xf numFmtId="164" fontId="27" fillId="0" borderId="55" xfId="1" applyFont="1" applyFill="1" applyBorder="1" applyAlignment="1"/>
    <xf numFmtId="164" fontId="55" fillId="0" borderId="56" xfId="1" applyFont="1" applyBorder="1" applyAlignment="1"/>
    <xf numFmtId="3" fontId="10" fillId="0" borderId="50" xfId="0" applyNumberFormat="1" applyFont="1" applyBorder="1"/>
    <xf numFmtId="3" fontId="5" fillId="0" borderId="51" xfId="0" applyNumberFormat="1" applyFont="1" applyBorder="1"/>
    <xf numFmtId="164" fontId="27" fillId="0" borderId="3" xfId="1" applyFont="1" applyFill="1" applyBorder="1"/>
    <xf numFmtId="4" fontId="19" fillId="0" borderId="51" xfId="0" applyNumberFormat="1" applyFont="1" applyFill="1" applyBorder="1"/>
    <xf numFmtId="164" fontId="27" fillId="0" borderId="54" xfId="1" applyFont="1" applyFill="1" applyBorder="1"/>
    <xf numFmtId="3" fontId="14" fillId="0" borderId="51" xfId="0" applyNumberFormat="1" applyFont="1" applyBorder="1" applyAlignment="1">
      <alignment horizontal="center"/>
    </xf>
    <xf numFmtId="164" fontId="55" fillId="0" borderId="56" xfId="1" applyFont="1" applyBorder="1"/>
    <xf numFmtId="4" fontId="21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" fontId="47" fillId="0" borderId="12" xfId="0" applyNumberFormat="1" applyFont="1" applyFill="1" applyBorder="1" applyAlignment="1">
      <alignment horizontal="right"/>
    </xf>
    <xf numFmtId="0" fontId="0" fillId="0" borderId="0" xfId="0"/>
    <xf numFmtId="0" fontId="0" fillId="0" borderId="36" xfId="0" applyBorder="1"/>
    <xf numFmtId="0" fontId="39" fillId="8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0" fontId="56" fillId="0" borderId="39" xfId="0" applyFont="1" applyBorder="1"/>
    <xf numFmtId="17" fontId="57" fillId="0" borderId="34" xfId="0" applyNumberFormat="1" applyFont="1" applyBorder="1"/>
    <xf numFmtId="17" fontId="57" fillId="0" borderId="35" xfId="0" applyNumberFormat="1" applyFont="1" applyBorder="1"/>
    <xf numFmtId="0" fontId="57" fillId="0" borderId="45" xfId="0" applyFont="1" applyBorder="1"/>
    <xf numFmtId="0" fontId="57" fillId="0" borderId="46" xfId="0" applyFont="1" applyBorder="1"/>
    <xf numFmtId="0" fontId="57" fillId="8" borderId="45" xfId="0" applyFont="1" applyFill="1" applyBorder="1"/>
    <xf numFmtId="0" fontId="57" fillId="8" borderId="46" xfId="0" applyFont="1" applyFill="1" applyBorder="1"/>
    <xf numFmtId="0" fontId="31" fillId="0" borderId="3" xfId="0" applyFont="1" applyBorder="1"/>
    <xf numFmtId="0" fontId="31" fillId="8" borderId="0" xfId="0" applyFont="1" applyFill="1" applyBorder="1"/>
    <xf numFmtId="0" fontId="31" fillId="8" borderId="2" xfId="0" applyFont="1" applyFill="1" applyBorder="1"/>
    <xf numFmtId="0" fontId="31" fillId="0" borderId="45" xfId="0" applyFont="1" applyBorder="1"/>
    <xf numFmtId="0" fontId="31" fillId="0" borderId="2" xfId="0" applyFont="1" applyBorder="1"/>
    <xf numFmtId="0" fontId="31" fillId="0" borderId="47" xfId="0" applyFont="1" applyBorder="1"/>
    <xf numFmtId="0" fontId="31" fillId="0" borderId="48" xfId="0" applyFont="1" applyBorder="1"/>
    <xf numFmtId="0" fontId="31" fillId="0" borderId="36" xfId="0" applyFont="1" applyBorder="1"/>
    <xf numFmtId="0" fontId="31" fillId="0" borderId="37" xfId="0" applyFont="1" applyBorder="1"/>
    <xf numFmtId="2" fontId="47" fillId="0" borderId="18" xfId="0" applyNumberFormat="1" applyFont="1" applyFill="1" applyBorder="1" applyAlignment="1">
      <alignment horizontal="right"/>
    </xf>
    <xf numFmtId="1" fontId="47" fillId="0" borderId="18" xfId="0" applyNumberFormat="1" applyFont="1" applyFill="1" applyBorder="1" applyAlignment="1">
      <alignment horizontal="right"/>
    </xf>
    <xf numFmtId="1" fontId="47" fillId="3" borderId="28" xfId="0" applyNumberFormat="1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/>
    <xf numFmtId="4" fontId="47" fillId="14" borderId="0" xfId="0" applyNumberFormat="1" applyFont="1" applyFill="1"/>
    <xf numFmtId="4" fontId="7" fillId="14" borderId="0" xfId="0" applyNumberFormat="1" applyFont="1" applyFill="1"/>
    <xf numFmtId="2" fontId="6" fillId="14" borderId="0" xfId="0" applyNumberFormat="1" applyFont="1" applyFill="1" applyAlignment="1">
      <alignment horizontal="right"/>
    </xf>
    <xf numFmtId="4" fontId="47" fillId="15" borderId="0" xfId="0" applyNumberFormat="1" applyFont="1" applyFill="1"/>
    <xf numFmtId="4" fontId="7" fillId="15" borderId="0" xfId="0" applyNumberFormat="1" applyFont="1" applyFill="1"/>
    <xf numFmtId="2" fontId="6" fillId="15" borderId="0" xfId="0" applyNumberFormat="1" applyFont="1" applyFill="1" applyAlignment="1">
      <alignment horizontal="right"/>
    </xf>
    <xf numFmtId="2" fontId="7" fillId="15" borderId="0" xfId="0" applyNumberFormat="1" applyFont="1" applyFill="1" applyAlignment="1">
      <alignment horizontal="left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26" fillId="4" borderId="3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0" fillId="0" borderId="30" xfId="0" applyBorder="1"/>
    <xf numFmtId="0" fontId="3" fillId="0" borderId="30" xfId="0" applyFont="1" applyBorder="1"/>
    <xf numFmtId="0" fontId="26" fillId="6" borderId="39" xfId="0" applyFont="1" applyFill="1" applyBorder="1" applyAlignment="1">
      <alignment vertical="top" wrapText="1"/>
    </xf>
    <xf numFmtId="0" fontId="26" fillId="6" borderId="34" xfId="0" applyFont="1" applyFill="1" applyBorder="1" applyAlignment="1">
      <alignment vertical="top" wrapText="1"/>
    </xf>
    <xf numFmtId="0" fontId="26" fillId="6" borderId="35" xfId="0" applyFont="1" applyFill="1" applyBorder="1" applyAlignment="1">
      <alignment vertical="top" wrapText="1"/>
    </xf>
    <xf numFmtId="0" fontId="26" fillId="6" borderId="3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26" fillId="6" borderId="2" xfId="0" applyFont="1" applyFill="1" applyBorder="1" applyAlignment="1">
      <alignment vertical="top" wrapText="1"/>
    </xf>
    <xf numFmtId="0" fontId="26" fillId="6" borderId="40" xfId="0" applyFont="1" applyFill="1" applyBorder="1" applyAlignment="1">
      <alignment vertical="top" wrapText="1"/>
    </xf>
    <xf numFmtId="0" fontId="26" fillId="6" borderId="36" xfId="0" applyFont="1" applyFill="1" applyBorder="1" applyAlignment="1">
      <alignment vertical="top" wrapText="1"/>
    </xf>
    <xf numFmtId="0" fontId="26" fillId="6" borderId="37" xfId="0" applyFont="1" applyFill="1" applyBorder="1" applyAlignment="1">
      <alignment vertical="top" wrapText="1"/>
    </xf>
    <xf numFmtId="0" fontId="0" fillId="0" borderId="34" xfId="0" applyBorder="1"/>
    <xf numFmtId="0" fontId="26" fillId="4" borderId="40" xfId="0" applyFont="1" applyFill="1" applyBorder="1"/>
    <xf numFmtId="0" fontId="26" fillId="4" borderId="36" xfId="0" applyFont="1" applyFill="1" applyBorder="1"/>
    <xf numFmtId="0" fontId="26" fillId="4" borderId="37" xfId="0" applyFont="1" applyFill="1" applyBorder="1"/>
    <xf numFmtId="0" fontId="26" fillId="4" borderId="39" xfId="0" applyFont="1" applyFill="1" applyBorder="1"/>
    <xf numFmtId="0" fontId="26" fillId="4" borderId="34" xfId="0" applyFont="1" applyFill="1" applyBorder="1"/>
    <xf numFmtId="0" fontId="26" fillId="4" borderId="35" xfId="0" applyFont="1" applyFill="1" applyBorder="1"/>
    <xf numFmtId="0" fontId="0" fillId="0" borderId="0" xfId="0"/>
    <xf numFmtId="0" fontId="0" fillId="0" borderId="36" xfId="0" applyBorder="1"/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23" fillId="6" borderId="39" xfId="0" applyFont="1" applyFill="1" applyBorder="1" applyAlignment="1">
      <alignment wrapText="1"/>
    </xf>
    <xf numFmtId="0" fontId="23" fillId="6" borderId="34" xfId="0" applyFont="1" applyFill="1" applyBorder="1" applyAlignment="1">
      <alignment wrapText="1"/>
    </xf>
    <xf numFmtId="0" fontId="23" fillId="6" borderId="35" xfId="0" applyFont="1" applyFill="1" applyBorder="1" applyAlignment="1">
      <alignment wrapText="1"/>
    </xf>
    <xf numFmtId="0" fontId="23" fillId="6" borderId="40" xfId="0" applyFont="1" applyFill="1" applyBorder="1" applyAlignment="1">
      <alignment wrapText="1"/>
    </xf>
    <xf numFmtId="0" fontId="23" fillId="6" borderId="36" xfId="0" applyFont="1" applyFill="1" applyBorder="1" applyAlignment="1">
      <alignment wrapText="1"/>
    </xf>
    <xf numFmtId="0" fontId="23" fillId="6" borderId="37" xfId="0" applyFont="1" applyFill="1" applyBorder="1" applyAlignment="1">
      <alignment wrapText="1"/>
    </xf>
    <xf numFmtId="0" fontId="32" fillId="4" borderId="39" xfId="0" applyFont="1" applyFill="1" applyBorder="1" applyAlignment="1">
      <alignment horizontal="center"/>
    </xf>
    <xf numFmtId="0" fontId="32" fillId="4" borderId="34" xfId="0" applyFont="1" applyFill="1" applyBorder="1" applyAlignment="1">
      <alignment horizontal="center"/>
    </xf>
    <xf numFmtId="0" fontId="32" fillId="4" borderId="35" xfId="0" applyFont="1" applyFill="1" applyBorder="1" applyAlignment="1">
      <alignment horizontal="center"/>
    </xf>
    <xf numFmtId="0" fontId="33" fillId="4" borderId="3" xfId="0" applyFont="1" applyFill="1" applyBorder="1"/>
    <xf numFmtId="0" fontId="33" fillId="4" borderId="0" xfId="0" applyFont="1" applyFill="1" applyBorder="1"/>
    <xf numFmtId="0" fontId="33" fillId="4" borderId="2" xfId="0" applyFont="1" applyFill="1" applyBorder="1"/>
    <xf numFmtId="0" fontId="31" fillId="0" borderId="30" xfId="0" applyFont="1" applyBorder="1"/>
    <xf numFmtId="0" fontId="26" fillId="4" borderId="39" xfId="0" applyFont="1" applyFill="1" applyBorder="1" applyAlignment="1">
      <alignment vertical="top" wrapText="1"/>
    </xf>
    <xf numFmtId="0" fontId="26" fillId="4" borderId="34" xfId="0" applyFont="1" applyFill="1" applyBorder="1" applyAlignment="1">
      <alignment vertical="top" wrapText="1"/>
    </xf>
    <xf numFmtId="0" fontId="26" fillId="4" borderId="35" xfId="0" applyFont="1" applyFill="1" applyBorder="1" applyAlignment="1">
      <alignment vertical="top" wrapText="1"/>
    </xf>
    <xf numFmtId="0" fontId="26" fillId="4" borderId="3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top" wrapText="1"/>
    </xf>
    <xf numFmtId="0" fontId="26" fillId="4" borderId="2" xfId="0" applyFont="1" applyFill="1" applyBorder="1" applyAlignment="1">
      <alignment vertical="top" wrapText="1"/>
    </xf>
    <xf numFmtId="0" fontId="26" fillId="4" borderId="40" xfId="0" applyFont="1" applyFill="1" applyBorder="1" applyAlignment="1">
      <alignment vertical="top" wrapText="1"/>
    </xf>
    <xf numFmtId="0" fontId="26" fillId="4" borderId="36" xfId="0" applyFont="1" applyFill="1" applyBorder="1" applyAlignment="1">
      <alignment vertical="top" wrapText="1"/>
    </xf>
    <xf numFmtId="0" fontId="26" fillId="4" borderId="37" xfId="0" applyFont="1" applyFill="1" applyBorder="1" applyAlignment="1">
      <alignment vertical="top" wrapText="1"/>
    </xf>
    <xf numFmtId="0" fontId="26" fillId="6" borderId="3" xfId="0" applyFont="1" applyFill="1" applyBorder="1" applyAlignment="1">
      <alignment horizontal="left" vertical="top" wrapText="1"/>
    </xf>
    <xf numFmtId="0" fontId="26" fillId="6" borderId="0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left" vertical="top" wrapText="1"/>
    </xf>
    <xf numFmtId="0" fontId="26" fillId="6" borderId="40" xfId="0" applyFont="1" applyFill="1" applyBorder="1" applyAlignment="1">
      <alignment horizontal="left" vertical="top" wrapText="1"/>
    </xf>
    <xf numFmtId="0" fontId="26" fillId="6" borderId="36" xfId="0" applyFont="1" applyFill="1" applyBorder="1" applyAlignment="1">
      <alignment horizontal="left" vertical="top" wrapText="1"/>
    </xf>
    <xf numFmtId="0" fontId="26" fillId="6" borderId="37" xfId="0" applyFont="1" applyFill="1" applyBorder="1" applyAlignment="1">
      <alignment horizontal="left" vertical="top" wrapText="1"/>
    </xf>
    <xf numFmtId="0" fontId="26" fillId="6" borderId="39" xfId="0" applyFont="1" applyFill="1" applyBorder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26" fillId="10" borderId="39" xfId="0" applyFont="1" applyFill="1" applyBorder="1" applyAlignment="1">
      <alignment horizontal="left"/>
    </xf>
    <xf numFmtId="0" fontId="26" fillId="10" borderId="34" xfId="0" applyFont="1" applyFill="1" applyBorder="1" applyAlignment="1">
      <alignment horizontal="left"/>
    </xf>
    <xf numFmtId="0" fontId="26" fillId="10" borderId="35" xfId="0" applyFont="1" applyFill="1" applyBorder="1" applyAlignment="1">
      <alignment horizontal="left"/>
    </xf>
    <xf numFmtId="0" fontId="26" fillId="10" borderId="3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26" fillId="10" borderId="2" xfId="0" applyFont="1" applyFill="1" applyBorder="1" applyAlignment="1">
      <alignment horizontal="left"/>
    </xf>
    <xf numFmtId="0" fontId="26" fillId="10" borderId="40" xfId="0" applyFont="1" applyFill="1" applyBorder="1" applyAlignment="1">
      <alignment horizontal="left"/>
    </xf>
    <xf numFmtId="0" fontId="26" fillId="10" borderId="36" xfId="0" applyFont="1" applyFill="1" applyBorder="1" applyAlignment="1">
      <alignment horizontal="left"/>
    </xf>
    <xf numFmtId="0" fontId="26" fillId="10" borderId="37" xfId="0" applyFont="1" applyFill="1" applyBorder="1" applyAlignment="1">
      <alignment horizontal="left"/>
    </xf>
    <xf numFmtId="0" fontId="11" fillId="11" borderId="39" xfId="0" applyFont="1" applyFill="1" applyBorder="1" applyAlignment="1">
      <alignment vertical="center" wrapText="1"/>
    </xf>
    <xf numFmtId="0" fontId="0" fillId="11" borderId="34" xfId="0" applyFill="1" applyBorder="1" applyAlignment="1">
      <alignment vertical="center" wrapText="1"/>
    </xf>
    <xf numFmtId="0" fontId="0" fillId="11" borderId="35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40" xfId="0" applyFill="1" applyBorder="1" applyAlignment="1">
      <alignment vertical="center" wrapText="1"/>
    </xf>
    <xf numFmtId="0" fontId="0" fillId="11" borderId="36" xfId="0" applyFill="1" applyBorder="1" applyAlignment="1">
      <alignment vertical="center" wrapText="1"/>
    </xf>
    <xf numFmtId="0" fontId="0" fillId="11" borderId="37" xfId="0" applyFill="1" applyBorder="1" applyAlignment="1">
      <alignment vertical="center" wrapText="1"/>
    </xf>
    <xf numFmtId="4" fontId="42" fillId="0" borderId="3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4" fontId="51" fillId="0" borderId="24" xfId="0" applyNumberFormat="1" applyFont="1" applyBorder="1" applyAlignment="1">
      <alignment horizontal="center" wrapText="1"/>
    </xf>
    <xf numFmtId="4" fontId="51" fillId="0" borderId="26" xfId="0" applyNumberFormat="1" applyFont="1" applyBorder="1" applyAlignment="1">
      <alignment horizontal="center" wrapText="1"/>
    </xf>
    <xf numFmtId="2" fontId="28" fillId="0" borderId="41" xfId="0" applyNumberFormat="1" applyFont="1" applyFill="1" applyBorder="1" applyAlignment="1">
      <alignment horizontal="left" vertical="top" wrapText="1"/>
    </xf>
    <xf numFmtId="2" fontId="28" fillId="0" borderId="42" xfId="0" applyNumberFormat="1" applyFont="1" applyFill="1" applyBorder="1" applyAlignment="1">
      <alignment horizontal="left" vertical="top" wrapText="1"/>
    </xf>
    <xf numFmtId="2" fontId="28" fillId="0" borderId="43" xfId="0" applyNumberFormat="1" applyFont="1" applyFill="1" applyBorder="1" applyAlignment="1">
      <alignment horizontal="left" vertical="top" wrapText="1"/>
    </xf>
    <xf numFmtId="2" fontId="28" fillId="0" borderId="20" xfId="0" applyNumberFormat="1" applyFont="1" applyFill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left" vertical="top" wrapText="1"/>
    </xf>
    <xf numFmtId="2" fontId="28" fillId="0" borderId="21" xfId="0" applyNumberFormat="1" applyFont="1" applyFill="1" applyBorder="1" applyAlignment="1">
      <alignment horizontal="left" vertical="top" wrapText="1"/>
    </xf>
    <xf numFmtId="2" fontId="28" fillId="0" borderId="22" xfId="0" applyNumberFormat="1" applyFont="1" applyFill="1" applyBorder="1" applyAlignment="1">
      <alignment horizontal="left" vertical="top" wrapText="1"/>
    </xf>
    <xf numFmtId="2" fontId="28" fillId="0" borderId="1" xfId="0" applyNumberFormat="1" applyFont="1" applyFill="1" applyBorder="1" applyAlignment="1">
      <alignment horizontal="left" vertical="top" wrapText="1"/>
    </xf>
    <xf numFmtId="2" fontId="28" fillId="0" borderId="23" xfId="0" applyNumberFormat="1" applyFont="1" applyFill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4" fontId="54" fillId="0" borderId="3" xfId="0" applyNumberFormat="1" applyFont="1" applyFill="1" applyBorder="1" applyAlignment="1">
      <alignment horizontal="center" vertical="top" wrapText="1"/>
    </xf>
    <xf numFmtId="4" fontId="54" fillId="0" borderId="52" xfId="0" applyNumberFormat="1" applyFont="1" applyFill="1" applyBorder="1" applyAlignment="1">
      <alignment horizontal="center" vertical="center" wrapText="1"/>
    </xf>
    <xf numFmtId="4" fontId="54" fillId="0" borderId="53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3" fillId="7" borderId="17" xfId="0" applyFont="1" applyFill="1" applyBorder="1"/>
    <xf numFmtId="0" fontId="3" fillId="7" borderId="44" xfId="0" applyFont="1" applyFill="1" applyBorder="1"/>
    <xf numFmtId="164" fontId="4" fillId="2" borderId="3" xfId="1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40" xfId="1" applyFont="1" applyFill="1" applyBorder="1" applyAlignment="1">
      <alignment horizontal="center" vertical="center"/>
    </xf>
    <xf numFmtId="164" fontId="4" fillId="2" borderId="36" xfId="1" applyFont="1" applyFill="1" applyBorder="1" applyAlignment="1">
      <alignment horizontal="center" vertical="center"/>
    </xf>
    <xf numFmtId="164" fontId="4" fillId="2" borderId="37" xfId="1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colors>
    <mruColors>
      <color rgb="FF0000FF"/>
      <color rgb="FF800000"/>
      <color rgb="FFFFFF99"/>
      <color rgb="FFCCFF99"/>
      <color rgb="FFFFCCFF"/>
      <color rgb="FF99FF66"/>
      <color rgb="FFCCFF6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29"/>
  <sheetViews>
    <sheetView showGridLines="0" showRowColHeaders="0" tabSelected="1" showOutlineSymbols="0" zoomScaleNormal="100" workbookViewId="0">
      <selection sqref="A1:E1"/>
    </sheetView>
  </sheetViews>
  <sheetFormatPr defaultRowHeight="15" x14ac:dyDescent="0.2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6" ht="16.5" thickBot="1" x14ac:dyDescent="0.3">
      <c r="A1" s="352" t="s">
        <v>26</v>
      </c>
      <c r="B1" s="353"/>
      <c r="C1" s="353"/>
      <c r="D1" s="353"/>
      <c r="E1" s="354"/>
      <c r="F1" s="376"/>
      <c r="G1" s="378" t="s">
        <v>37</v>
      </c>
      <c r="H1" s="379"/>
      <c r="I1" s="380"/>
      <c r="K1" s="412" t="s">
        <v>79</v>
      </c>
      <c r="L1" s="413"/>
      <c r="M1" s="414"/>
    </row>
    <row r="2" spans="1:16" ht="8.1" customHeight="1" thickBot="1" x14ac:dyDescent="0.3">
      <c r="A2" s="358"/>
      <c r="B2" s="358"/>
      <c r="C2" s="358"/>
      <c r="D2" s="358"/>
      <c r="E2" s="358"/>
      <c r="F2" s="376"/>
      <c r="G2" s="359"/>
      <c r="H2" s="359"/>
      <c r="I2" s="359"/>
    </row>
    <row r="3" spans="1:16" ht="15.75" x14ac:dyDescent="0.25">
      <c r="A3" s="360" t="s">
        <v>77</v>
      </c>
      <c r="B3" s="361"/>
      <c r="C3" s="361"/>
      <c r="D3" s="361"/>
      <c r="E3" s="362"/>
      <c r="F3" s="376"/>
      <c r="G3" s="373" t="s">
        <v>39</v>
      </c>
      <c r="H3" s="374"/>
      <c r="I3" s="375"/>
      <c r="K3" s="415" t="s">
        <v>80</v>
      </c>
      <c r="L3" s="416"/>
      <c r="M3" s="417"/>
    </row>
    <row r="4" spans="1:16" ht="15.75" x14ac:dyDescent="0.25">
      <c r="A4" s="363"/>
      <c r="B4" s="364"/>
      <c r="C4" s="364"/>
      <c r="D4" s="364"/>
      <c r="E4" s="365"/>
      <c r="F4" s="376"/>
      <c r="G4" s="355" t="s">
        <v>38</v>
      </c>
      <c r="H4" s="356"/>
      <c r="I4" s="357"/>
      <c r="K4" s="418" t="s">
        <v>86</v>
      </c>
      <c r="L4" s="419"/>
      <c r="M4" s="420"/>
    </row>
    <row r="5" spans="1:16" ht="16.5" thickBot="1" x14ac:dyDescent="0.3">
      <c r="A5" s="363"/>
      <c r="B5" s="364"/>
      <c r="C5" s="364"/>
      <c r="D5" s="364"/>
      <c r="E5" s="365"/>
      <c r="F5" s="376"/>
      <c r="G5" s="355" t="s">
        <v>65</v>
      </c>
      <c r="H5" s="356"/>
      <c r="I5" s="357"/>
      <c r="K5" s="421" t="s">
        <v>87</v>
      </c>
      <c r="L5" s="422"/>
      <c r="M5" s="423"/>
    </row>
    <row r="6" spans="1:16" ht="16.5" thickBot="1" x14ac:dyDescent="0.3">
      <c r="A6" s="363"/>
      <c r="B6" s="364"/>
      <c r="C6" s="364"/>
      <c r="D6" s="364"/>
      <c r="E6" s="365"/>
      <c r="F6" s="376"/>
      <c r="G6" s="355" t="s">
        <v>75</v>
      </c>
      <c r="H6" s="356"/>
      <c r="I6" s="357"/>
    </row>
    <row r="7" spans="1:16" ht="15.75" x14ac:dyDescent="0.25">
      <c r="A7" s="363"/>
      <c r="B7" s="364"/>
      <c r="C7" s="364"/>
      <c r="D7" s="364"/>
      <c r="E7" s="365"/>
      <c r="F7" s="376"/>
      <c r="G7" s="355" t="s">
        <v>66</v>
      </c>
      <c r="H7" s="356"/>
      <c r="I7" s="357"/>
      <c r="K7" s="424" t="s">
        <v>149</v>
      </c>
      <c r="L7" s="425"/>
      <c r="M7" s="426"/>
    </row>
    <row r="8" spans="1:16" ht="15" customHeight="1" x14ac:dyDescent="0.25">
      <c r="A8" s="363"/>
      <c r="B8" s="364"/>
      <c r="C8" s="364"/>
      <c r="D8" s="364"/>
      <c r="E8" s="365"/>
      <c r="F8" s="376"/>
      <c r="G8" s="355" t="s">
        <v>67</v>
      </c>
      <c r="H8" s="356"/>
      <c r="I8" s="357"/>
      <c r="K8" s="427"/>
      <c r="L8" s="428"/>
      <c r="M8" s="429"/>
    </row>
    <row r="9" spans="1:16" ht="16.5" thickBot="1" x14ac:dyDescent="0.3">
      <c r="A9" s="363"/>
      <c r="B9" s="364"/>
      <c r="C9" s="364"/>
      <c r="D9" s="364"/>
      <c r="E9" s="365"/>
      <c r="F9" s="376"/>
      <c r="G9" s="370" t="s">
        <v>68</v>
      </c>
      <c r="H9" s="371"/>
      <c r="I9" s="372"/>
      <c r="K9" s="427"/>
      <c r="L9" s="428"/>
      <c r="M9" s="429"/>
    </row>
    <row r="10" spans="1:16" ht="8.25" customHeight="1" thickBot="1" x14ac:dyDescent="0.25">
      <c r="A10" s="363"/>
      <c r="B10" s="364"/>
      <c r="C10" s="364"/>
      <c r="D10" s="364"/>
      <c r="E10" s="365"/>
      <c r="F10" s="376"/>
      <c r="G10" s="369"/>
      <c r="H10" s="369"/>
      <c r="I10" s="369"/>
      <c r="K10" s="427"/>
      <c r="L10" s="428"/>
      <c r="M10" s="429"/>
    </row>
    <row r="11" spans="1:16" ht="15.75" customHeight="1" x14ac:dyDescent="0.25">
      <c r="A11" s="363"/>
      <c r="B11" s="364"/>
      <c r="C11" s="364"/>
      <c r="D11" s="364"/>
      <c r="E11" s="365"/>
      <c r="F11" s="376"/>
      <c r="G11" s="387" t="s">
        <v>69</v>
      </c>
      <c r="H11" s="388"/>
      <c r="I11" s="389"/>
      <c r="K11" s="427"/>
      <c r="L11" s="428"/>
      <c r="M11" s="429"/>
    </row>
    <row r="12" spans="1:16" ht="15" customHeight="1" x14ac:dyDescent="0.25">
      <c r="A12" s="363"/>
      <c r="B12" s="364"/>
      <c r="C12" s="364"/>
      <c r="D12" s="364"/>
      <c r="E12" s="365"/>
      <c r="F12" s="376"/>
      <c r="G12" s="390" t="s">
        <v>148</v>
      </c>
      <c r="H12" s="391"/>
      <c r="I12" s="392"/>
      <c r="K12" s="427"/>
      <c r="L12" s="428"/>
      <c r="M12" s="429"/>
      <c r="P12" t="s">
        <v>85</v>
      </c>
    </row>
    <row r="13" spans="1:16" ht="20.25" customHeight="1" x14ac:dyDescent="0.25">
      <c r="A13" s="363"/>
      <c r="B13" s="364"/>
      <c r="C13" s="364"/>
      <c r="D13" s="364"/>
      <c r="E13" s="365"/>
      <c r="F13" s="376"/>
      <c r="G13" s="355" t="s">
        <v>147</v>
      </c>
      <c r="H13" s="356"/>
      <c r="I13" s="357"/>
      <c r="K13" s="427"/>
      <c r="L13" s="428"/>
      <c r="M13" s="429"/>
    </row>
    <row r="14" spans="1:16" ht="20.25" customHeight="1" x14ac:dyDescent="0.25">
      <c r="A14" s="363"/>
      <c r="B14" s="364"/>
      <c r="C14" s="364"/>
      <c r="D14" s="364"/>
      <c r="E14" s="365"/>
      <c r="F14" s="376"/>
      <c r="G14" s="116" t="s">
        <v>175</v>
      </c>
      <c r="H14" s="112"/>
      <c r="I14" s="113"/>
      <c r="K14" s="427"/>
      <c r="L14" s="428"/>
      <c r="M14" s="429"/>
    </row>
    <row r="15" spans="1:16" ht="16.5" customHeight="1" thickBot="1" x14ac:dyDescent="0.3">
      <c r="A15" s="366"/>
      <c r="B15" s="367"/>
      <c r="C15" s="367"/>
      <c r="D15" s="367"/>
      <c r="E15" s="368"/>
      <c r="F15" s="376"/>
      <c r="G15" s="115" t="s">
        <v>81</v>
      </c>
      <c r="H15" s="111"/>
      <c r="I15" s="114"/>
      <c r="K15" s="430"/>
      <c r="L15" s="431"/>
      <c r="M15" s="432"/>
    </row>
    <row r="16" spans="1:16" ht="8.1" customHeight="1" thickBot="1" x14ac:dyDescent="0.25">
      <c r="A16" s="358"/>
      <c r="B16" s="358"/>
      <c r="C16" s="358"/>
      <c r="D16" s="358"/>
      <c r="E16" s="358"/>
      <c r="F16" s="377"/>
      <c r="G16" s="377"/>
      <c r="H16" s="377"/>
      <c r="I16" s="377"/>
    </row>
    <row r="17" spans="1:13" ht="15.75" x14ac:dyDescent="0.25">
      <c r="A17" s="394" t="s">
        <v>74</v>
      </c>
      <c r="B17" s="395"/>
      <c r="C17" s="395"/>
      <c r="D17" s="395"/>
      <c r="E17" s="395"/>
      <c r="F17" s="395"/>
      <c r="G17" s="395"/>
      <c r="H17" s="395"/>
      <c r="I17" s="396"/>
      <c r="K17" s="409" t="s">
        <v>82</v>
      </c>
      <c r="L17" s="410"/>
      <c r="M17" s="411"/>
    </row>
    <row r="18" spans="1:13" x14ac:dyDescent="0.2">
      <c r="A18" s="397"/>
      <c r="B18" s="398"/>
      <c r="C18" s="398"/>
      <c r="D18" s="398"/>
      <c r="E18" s="398"/>
      <c r="F18" s="398"/>
      <c r="G18" s="398"/>
      <c r="H18" s="398"/>
      <c r="I18" s="399"/>
      <c r="K18" s="403" t="s">
        <v>137</v>
      </c>
      <c r="L18" s="404"/>
      <c r="M18" s="405"/>
    </row>
    <row r="19" spans="1:13" ht="15.75" thickBot="1" x14ac:dyDescent="0.25">
      <c r="A19" s="400"/>
      <c r="B19" s="401"/>
      <c r="C19" s="401"/>
      <c r="D19" s="401"/>
      <c r="E19" s="401"/>
      <c r="F19" s="401"/>
      <c r="G19" s="401"/>
      <c r="H19" s="401"/>
      <c r="I19" s="402"/>
      <c r="K19" s="403"/>
      <c r="L19" s="404"/>
      <c r="M19" s="405"/>
    </row>
    <row r="20" spans="1:13" ht="8.1" customHeight="1" thickBot="1" x14ac:dyDescent="0.25">
      <c r="A20" s="393"/>
      <c r="B20" s="393"/>
      <c r="C20" s="393"/>
      <c r="D20" s="393"/>
      <c r="E20" s="393"/>
      <c r="F20" s="393"/>
      <c r="G20" s="393"/>
      <c r="H20" s="393"/>
      <c r="I20" s="393"/>
      <c r="K20" s="403"/>
      <c r="L20" s="404"/>
      <c r="M20" s="405"/>
    </row>
    <row r="21" spans="1:13" ht="15" customHeight="1" x14ac:dyDescent="0.2">
      <c r="A21" s="394" t="s">
        <v>76</v>
      </c>
      <c r="B21" s="395"/>
      <c r="C21" s="395"/>
      <c r="D21" s="395"/>
      <c r="E21" s="395"/>
      <c r="F21" s="395"/>
      <c r="G21" s="395"/>
      <c r="H21" s="395"/>
      <c r="I21" s="396"/>
      <c r="K21" s="403"/>
      <c r="L21" s="404"/>
      <c r="M21" s="405"/>
    </row>
    <row r="22" spans="1:13" ht="15.75" thickBot="1" x14ac:dyDescent="0.25">
      <c r="A22" s="400"/>
      <c r="B22" s="401"/>
      <c r="C22" s="401"/>
      <c r="D22" s="401"/>
      <c r="E22" s="401"/>
      <c r="F22" s="401"/>
      <c r="G22" s="401"/>
      <c r="H22" s="401"/>
      <c r="I22" s="402"/>
      <c r="K22" s="403"/>
      <c r="L22" s="404"/>
      <c r="M22" s="405"/>
    </row>
    <row r="23" spans="1:13" ht="6.75" customHeight="1" thickBot="1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K23" s="403"/>
      <c r="L23" s="404"/>
      <c r="M23" s="405"/>
    </row>
    <row r="24" spans="1:13" x14ac:dyDescent="0.2">
      <c r="A24" s="360" t="s">
        <v>93</v>
      </c>
      <c r="B24" s="361"/>
      <c r="C24" s="361"/>
      <c r="D24" s="361"/>
      <c r="E24" s="361"/>
      <c r="F24" s="361"/>
      <c r="G24" s="361"/>
      <c r="H24" s="361"/>
      <c r="I24" s="362"/>
      <c r="K24" s="403"/>
      <c r="L24" s="404"/>
      <c r="M24" s="405"/>
    </row>
    <row r="25" spans="1:13" x14ac:dyDescent="0.2">
      <c r="A25" s="363"/>
      <c r="B25" s="364"/>
      <c r="C25" s="364"/>
      <c r="D25" s="364"/>
      <c r="E25" s="364"/>
      <c r="F25" s="364"/>
      <c r="G25" s="364"/>
      <c r="H25" s="364"/>
      <c r="I25" s="365"/>
      <c r="K25" s="403"/>
      <c r="L25" s="404"/>
      <c r="M25" s="405"/>
    </row>
    <row r="26" spans="1:13" ht="15.75" thickBot="1" x14ac:dyDescent="0.25">
      <c r="A26" s="366"/>
      <c r="B26" s="367"/>
      <c r="C26" s="367"/>
      <c r="D26" s="367"/>
      <c r="E26" s="367"/>
      <c r="F26" s="367"/>
      <c r="G26" s="367"/>
      <c r="H26" s="367"/>
      <c r="I26" s="368"/>
      <c r="K26" s="403"/>
      <c r="L26" s="404"/>
      <c r="M26" s="405"/>
    </row>
    <row r="27" spans="1:13" ht="5.25" customHeight="1" thickBot="1" x14ac:dyDescent="0.25">
      <c r="K27" s="403"/>
      <c r="L27" s="404"/>
      <c r="M27" s="405"/>
    </row>
    <row r="28" spans="1:13" x14ac:dyDescent="0.2">
      <c r="A28" s="381" t="s">
        <v>70</v>
      </c>
      <c r="B28" s="382"/>
      <c r="C28" s="382"/>
      <c r="D28" s="382"/>
      <c r="E28" s="382"/>
      <c r="F28" s="382"/>
      <c r="G28" s="382"/>
      <c r="H28" s="382"/>
      <c r="I28" s="383"/>
      <c r="K28" s="403"/>
      <c r="L28" s="404"/>
      <c r="M28" s="405"/>
    </row>
    <row r="29" spans="1:13" ht="15.75" thickBot="1" x14ac:dyDescent="0.25">
      <c r="A29" s="384"/>
      <c r="B29" s="385"/>
      <c r="C29" s="385"/>
      <c r="D29" s="385"/>
      <c r="E29" s="385"/>
      <c r="F29" s="385"/>
      <c r="G29" s="385"/>
      <c r="H29" s="385"/>
      <c r="I29" s="386"/>
      <c r="K29" s="406"/>
      <c r="L29" s="407"/>
      <c r="M29" s="408"/>
    </row>
  </sheetData>
  <mergeCells count="31">
    <mergeCell ref="K18:M29"/>
    <mergeCell ref="K17:M17"/>
    <mergeCell ref="K1:M1"/>
    <mergeCell ref="K3:M3"/>
    <mergeCell ref="K4:M4"/>
    <mergeCell ref="K5:M5"/>
    <mergeCell ref="K7:M1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</mergeCells>
  <phoneticPr fontId="0" type="noConversion"/>
  <pageMargins left="0.75" right="0.75" top="1" bottom="1" header="0" footer="0"/>
  <pageSetup paperSize="9" scale="67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8"/>
  <sheetViews>
    <sheetView zoomScaleNormal="100" workbookViewId="0">
      <selection sqref="A1:E1"/>
    </sheetView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61" customWidth="1"/>
    <col min="8" max="8" width="10.77734375" style="15" customWidth="1"/>
    <col min="9" max="9" width="9.109375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1" ht="16.5" thickBot="1" x14ac:dyDescent="0.3">
      <c r="A1" s="75" t="s">
        <v>15</v>
      </c>
      <c r="B1" s="76"/>
      <c r="C1" s="77"/>
      <c r="D1" s="77"/>
      <c r="E1" s="78"/>
      <c r="F1" s="433" t="s">
        <v>64</v>
      </c>
      <c r="G1" s="434"/>
      <c r="H1" s="100"/>
      <c r="I1" s="101"/>
    </row>
    <row r="2" spans="1:21" ht="16.5" thickBot="1" x14ac:dyDescent="0.3">
      <c r="A2" s="123" t="str">
        <f>IF(B5+B9+B12+B15&gt;1,"Snyd! - du skal kun skrive i 1 af de 4 felter for anciennitet",".")</f>
        <v>.</v>
      </c>
      <c r="B2" s="79"/>
      <c r="C2" s="79"/>
      <c r="D2" s="79"/>
      <c r="E2" s="79"/>
      <c r="F2" s="435" t="str">
        <f>DATABANK!B20</f>
        <v xml:space="preserve"> 1.10.2015 </v>
      </c>
      <c r="G2" s="435"/>
      <c r="H2" s="436" t="s">
        <v>71</v>
      </c>
      <c r="I2" s="101"/>
    </row>
    <row r="3" spans="1:21" ht="15.75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157" t="s">
        <v>18</v>
      </c>
      <c r="G3" s="157" t="s">
        <v>17</v>
      </c>
      <c r="H3" s="437"/>
      <c r="I3" s="102"/>
    </row>
    <row r="4" spans="1:21" ht="15.75" thickBot="1" x14ac:dyDescent="0.25">
      <c r="A4" s="57" t="s">
        <v>9</v>
      </c>
      <c r="B4" s="80">
        <v>27</v>
      </c>
      <c r="C4" s="71"/>
      <c r="D4" s="163">
        <f>DATABANK!B27</f>
        <v>306277</v>
      </c>
      <c r="E4" s="199" t="s">
        <v>33</v>
      </c>
      <c r="F4" s="195">
        <f>ROUND($E$3/100*D4,2)</f>
        <v>306277</v>
      </c>
      <c r="G4" s="195">
        <f>ROUND(F4/12,2)</f>
        <v>25523.08</v>
      </c>
      <c r="H4" s="210"/>
      <c r="I4" s="101"/>
      <c r="J4" s="66"/>
      <c r="K4" s="66"/>
      <c r="L4" s="66"/>
      <c r="M4" s="66"/>
      <c r="N4" s="66"/>
      <c r="O4" s="66"/>
    </row>
    <row r="5" spans="1:21" ht="15.75" thickBot="1" x14ac:dyDescent="0.25">
      <c r="A5" s="96" t="s">
        <v>55</v>
      </c>
      <c r="B5" s="73"/>
      <c r="C5" s="84" t="s">
        <v>8</v>
      </c>
      <c r="D5" s="164"/>
      <c r="E5" s="204"/>
      <c r="F5" s="195"/>
      <c r="G5" s="195"/>
      <c r="H5" s="210"/>
      <c r="I5" s="101"/>
      <c r="J5" s="66"/>
      <c r="K5" s="66"/>
      <c r="L5" s="66"/>
      <c r="M5" s="66"/>
      <c r="N5" s="66"/>
      <c r="O5" s="66"/>
      <c r="P5" s="62"/>
      <c r="Q5" s="62"/>
      <c r="R5" s="62"/>
      <c r="S5" s="62"/>
      <c r="T5" s="62"/>
      <c r="U5" s="62"/>
    </row>
    <row r="6" spans="1:21" x14ac:dyDescent="0.2">
      <c r="A6" s="97" t="s">
        <v>54</v>
      </c>
      <c r="B6" s="74"/>
      <c r="C6" s="74"/>
      <c r="D6" s="165">
        <f>DATABANK!C58</f>
        <v>2622.67</v>
      </c>
      <c r="E6" s="200" t="s">
        <v>33</v>
      </c>
      <c r="F6" s="195">
        <f>ROUND(B5*E$3/100*D6,2)</f>
        <v>0</v>
      </c>
      <c r="G6" s="195">
        <f t="shared" ref="G6:G27" si="0">ROUND(F6/12,2)</f>
        <v>0</v>
      </c>
      <c r="H6" s="210"/>
      <c r="I6" s="101"/>
      <c r="J6" s="66"/>
      <c r="K6" s="66"/>
      <c r="L6" s="66"/>
      <c r="M6" s="66"/>
      <c r="N6" s="66"/>
      <c r="O6" s="66"/>
      <c r="P6" s="62"/>
      <c r="Q6" s="62"/>
      <c r="R6" s="62"/>
      <c r="S6" s="62"/>
      <c r="T6" s="62"/>
      <c r="U6" s="62"/>
    </row>
    <row r="7" spans="1:21" x14ac:dyDescent="0.2">
      <c r="A7" s="167" t="s">
        <v>116</v>
      </c>
      <c r="B7" s="169"/>
      <c r="C7" s="169"/>
      <c r="D7" s="168">
        <f>(DATABANK!B31-DATABANK!B27)</f>
        <v>17684</v>
      </c>
      <c r="E7" s="205" t="s">
        <v>33</v>
      </c>
      <c r="F7" s="217">
        <f>ROUND(B5*E$3/100*D7,2)</f>
        <v>0</v>
      </c>
      <c r="G7" s="217">
        <f t="shared" si="0"/>
        <v>0</v>
      </c>
      <c r="H7" s="210"/>
      <c r="I7" s="101"/>
      <c r="J7" s="66"/>
      <c r="K7" s="66"/>
      <c r="L7" s="66"/>
      <c r="M7" s="66"/>
      <c r="N7" s="66"/>
      <c r="O7" s="66"/>
      <c r="P7" s="62"/>
      <c r="Q7" s="62"/>
      <c r="R7" s="62"/>
      <c r="S7" s="62"/>
      <c r="T7" s="62"/>
      <c r="U7" s="62"/>
    </row>
    <row r="8" spans="1:21" ht="16.5" thickBot="1" x14ac:dyDescent="0.3">
      <c r="A8" s="170" t="s">
        <v>115</v>
      </c>
      <c r="B8" s="171"/>
      <c r="C8" s="171"/>
      <c r="D8" s="172">
        <f>(DATABANK!B33-DATABANK!B31)</f>
        <v>9277</v>
      </c>
      <c r="E8" s="206" t="s">
        <v>33</v>
      </c>
      <c r="F8" s="217">
        <f>ROUND(B5*E$3/100*D8,2)</f>
        <v>0</v>
      </c>
      <c r="G8" s="217">
        <f t="shared" si="0"/>
        <v>0</v>
      </c>
      <c r="H8" s="210"/>
      <c r="I8" s="101"/>
      <c r="J8" s="66"/>
      <c r="K8" s="66"/>
      <c r="L8" s="66"/>
      <c r="M8" s="66"/>
      <c r="N8" s="66"/>
      <c r="O8" s="66"/>
    </row>
    <row r="9" spans="1:21" ht="15.75" thickBot="1" x14ac:dyDescent="0.25">
      <c r="A9" s="96" t="s">
        <v>56</v>
      </c>
      <c r="B9" s="73"/>
      <c r="C9" s="84" t="s">
        <v>8</v>
      </c>
      <c r="D9" s="164">
        <f>(DATABANK!B30-DATABANK!B27)</f>
        <v>13151</v>
      </c>
      <c r="E9" s="204" t="s">
        <v>33</v>
      </c>
      <c r="F9" s="197">
        <f>ROUND(B9*E$3/100*D9,2)</f>
        <v>0</v>
      </c>
      <c r="G9" s="197">
        <f t="shared" si="0"/>
        <v>0</v>
      </c>
      <c r="H9" s="211"/>
      <c r="I9" s="101"/>
      <c r="J9" s="66"/>
      <c r="K9" s="66"/>
      <c r="L9" s="66"/>
      <c r="M9" s="66"/>
      <c r="N9" s="66"/>
      <c r="O9" s="66"/>
      <c r="P9" s="62"/>
      <c r="Q9" s="62"/>
      <c r="R9" s="62"/>
      <c r="S9" s="62"/>
      <c r="T9" s="62"/>
      <c r="U9" s="62"/>
    </row>
    <row r="10" spans="1:21" x14ac:dyDescent="0.2">
      <c r="A10" s="97" t="s">
        <v>54</v>
      </c>
      <c r="B10" s="74"/>
      <c r="C10" s="74"/>
      <c r="D10" s="165">
        <f>DATABANK!C58</f>
        <v>2622.67</v>
      </c>
      <c r="E10" s="200" t="s">
        <v>33</v>
      </c>
      <c r="F10" s="195">
        <f>ROUND(B9*E$3/100*D10,2)</f>
        <v>0</v>
      </c>
      <c r="G10" s="195">
        <f t="shared" si="0"/>
        <v>0</v>
      </c>
      <c r="H10" s="210"/>
      <c r="I10" s="101"/>
      <c r="J10" s="66"/>
      <c r="K10" s="66"/>
      <c r="L10" s="66"/>
      <c r="M10" s="66"/>
      <c r="N10" s="66"/>
      <c r="O10" s="66"/>
      <c r="P10" s="62"/>
      <c r="Q10" s="62"/>
      <c r="R10" s="62"/>
      <c r="S10" s="62"/>
      <c r="T10" s="62"/>
      <c r="U10" s="62"/>
    </row>
    <row r="11" spans="1:21" ht="15.75" thickBot="1" x14ac:dyDescent="0.25">
      <c r="A11" s="167" t="s">
        <v>116</v>
      </c>
      <c r="B11" s="173"/>
      <c r="C11" s="173"/>
      <c r="D11" s="172">
        <f>(DATABANK!B34-DATABANK!B30)</f>
        <v>18568</v>
      </c>
      <c r="E11" s="206" t="s">
        <v>33</v>
      </c>
      <c r="F11" s="217">
        <f>ROUND(B9*E$3/100*D11,2)</f>
        <v>0</v>
      </c>
      <c r="G11" s="217">
        <f t="shared" si="0"/>
        <v>0</v>
      </c>
      <c r="H11" s="210"/>
      <c r="I11" s="101"/>
      <c r="J11" s="66"/>
      <c r="K11" s="66"/>
      <c r="L11" s="66"/>
      <c r="M11" s="66"/>
      <c r="N11" s="66"/>
      <c r="O11" s="66"/>
      <c r="P11" s="62"/>
      <c r="Q11" s="62"/>
      <c r="R11" s="62"/>
      <c r="S11" s="62"/>
      <c r="T11" s="62"/>
      <c r="U11" s="62"/>
    </row>
    <row r="12" spans="1:21" ht="15.75" thickBot="1" x14ac:dyDescent="0.25">
      <c r="A12" s="96" t="s">
        <v>57</v>
      </c>
      <c r="B12" s="73"/>
      <c r="C12" s="84" t="s">
        <v>8</v>
      </c>
      <c r="D12" s="164">
        <f>(DATABANK!B$32-DATABANK!B$27)</f>
        <v>22287</v>
      </c>
      <c r="E12" s="204" t="s">
        <v>33</v>
      </c>
      <c r="F12" s="197">
        <f>ROUND(B12*E$3/100*D12,2)</f>
        <v>0</v>
      </c>
      <c r="G12" s="197">
        <f t="shared" si="0"/>
        <v>0</v>
      </c>
      <c r="H12" s="211"/>
      <c r="I12" s="101"/>
      <c r="J12" s="66"/>
      <c r="K12" s="66"/>
      <c r="L12" s="66"/>
      <c r="M12" s="66"/>
      <c r="N12" s="66"/>
      <c r="O12" s="66"/>
      <c r="P12" s="62"/>
      <c r="Q12" s="62"/>
      <c r="R12" s="62"/>
      <c r="S12" s="62"/>
      <c r="T12" s="62"/>
      <c r="U12" s="62"/>
    </row>
    <row r="13" spans="1:21" x14ac:dyDescent="0.2">
      <c r="A13" s="97" t="s">
        <v>54</v>
      </c>
      <c r="B13" s="74"/>
      <c r="C13" s="74"/>
      <c r="D13" s="165">
        <v>0</v>
      </c>
      <c r="E13" s="200" t="s">
        <v>33</v>
      </c>
      <c r="F13" s="195">
        <f>ROUND(B12*E$3/100*D13,2)</f>
        <v>0</v>
      </c>
      <c r="G13" s="195">
        <f t="shared" si="0"/>
        <v>0</v>
      </c>
      <c r="H13" s="210"/>
      <c r="I13" s="101"/>
      <c r="J13" s="66"/>
      <c r="K13" s="66"/>
      <c r="L13" s="66"/>
      <c r="M13" s="66"/>
      <c r="N13" s="66"/>
      <c r="O13" s="66"/>
      <c r="P13" s="62"/>
      <c r="Q13" s="62"/>
      <c r="R13" s="62"/>
      <c r="S13" s="62"/>
      <c r="T13" s="62"/>
      <c r="U13" s="62"/>
    </row>
    <row r="14" spans="1:21" ht="15.75" thickBot="1" x14ac:dyDescent="0.25">
      <c r="A14" s="167" t="s">
        <v>116</v>
      </c>
      <c r="B14" s="173"/>
      <c r="C14" s="173"/>
      <c r="D14" s="172">
        <f>(DATABANK!B36-DATABANK!B32)</f>
        <v>19162</v>
      </c>
      <c r="E14" s="206" t="s">
        <v>33</v>
      </c>
      <c r="F14" s="217">
        <f>ROUND(B12*E$3/100*D14,2)</f>
        <v>0</v>
      </c>
      <c r="G14" s="217">
        <f t="shared" si="0"/>
        <v>0</v>
      </c>
      <c r="H14" s="210"/>
      <c r="I14" s="101"/>
      <c r="J14" s="66"/>
      <c r="K14" s="66"/>
      <c r="L14" s="66"/>
      <c r="M14" s="66"/>
      <c r="N14" s="66"/>
      <c r="O14" s="66"/>
    </row>
    <row r="15" spans="1:21" ht="15.75" thickBot="1" x14ac:dyDescent="0.25">
      <c r="A15" s="96" t="s">
        <v>60</v>
      </c>
      <c r="B15" s="73"/>
      <c r="C15" s="84" t="s">
        <v>8</v>
      </c>
      <c r="D15" s="164">
        <f>D12</f>
        <v>22287</v>
      </c>
      <c r="E15" s="204" t="s">
        <v>33</v>
      </c>
      <c r="F15" s="197">
        <f>ROUND(B15*E$3/100*D15,2)</f>
        <v>0</v>
      </c>
      <c r="G15" s="197">
        <f t="shared" si="0"/>
        <v>0</v>
      </c>
      <c r="H15" s="211"/>
      <c r="I15" s="101"/>
      <c r="J15" s="66"/>
      <c r="K15" s="66"/>
      <c r="L15" s="66"/>
      <c r="M15" s="66"/>
      <c r="N15" s="66"/>
      <c r="O15" s="66"/>
      <c r="P15" s="62"/>
      <c r="Q15" s="62"/>
      <c r="R15" s="62"/>
      <c r="S15" s="62"/>
      <c r="T15" s="62"/>
      <c r="U15" s="62"/>
    </row>
    <row r="16" spans="1:21" x14ac:dyDescent="0.2">
      <c r="A16" s="97" t="s">
        <v>54</v>
      </c>
      <c r="B16" s="74"/>
      <c r="C16" s="74"/>
      <c r="D16" s="165">
        <f>DATABANK!C59</f>
        <v>9179.33</v>
      </c>
      <c r="E16" s="200" t="s">
        <v>33</v>
      </c>
      <c r="F16" s="195">
        <f>ROUND(B15*E$3/100*D16,2)</f>
        <v>0</v>
      </c>
      <c r="G16" s="195">
        <f t="shared" si="0"/>
        <v>0</v>
      </c>
      <c r="H16" s="210"/>
      <c r="I16" s="101"/>
      <c r="J16" s="66"/>
      <c r="K16" s="66"/>
      <c r="L16" s="66"/>
      <c r="M16" s="66"/>
      <c r="N16" s="66"/>
      <c r="O16" s="66"/>
    </row>
    <row r="17" spans="1:15" ht="15.75" thickBot="1" x14ac:dyDescent="0.25">
      <c r="A17" s="170" t="s">
        <v>116</v>
      </c>
      <c r="B17" s="173"/>
      <c r="C17" s="173"/>
      <c r="D17" s="172">
        <f>D14</f>
        <v>19162</v>
      </c>
      <c r="E17" s="206" t="s">
        <v>33</v>
      </c>
      <c r="F17" s="217">
        <f>ROUND(B15*E$3/100*D17,2)</f>
        <v>0</v>
      </c>
      <c r="G17" s="217">
        <f t="shared" si="0"/>
        <v>0</v>
      </c>
      <c r="H17" s="210"/>
      <c r="I17" s="101"/>
      <c r="J17" s="66"/>
      <c r="K17" s="66"/>
      <c r="L17" s="66"/>
      <c r="M17" s="66"/>
      <c r="N17" s="66"/>
      <c r="O17" s="66"/>
    </row>
    <row r="18" spans="1:15" x14ac:dyDescent="0.2">
      <c r="A18" s="185" t="s">
        <v>141</v>
      </c>
      <c r="B18" s="169"/>
      <c r="C18" s="169"/>
      <c r="D18" s="186">
        <f>DATABANK!C105</f>
        <v>3671.73</v>
      </c>
      <c r="E18" s="201"/>
      <c r="F18" s="195">
        <f>ROUND(E$3/100*D18,2)</f>
        <v>3671.73</v>
      </c>
      <c r="G18" s="195">
        <f t="shared" ref="G18" si="1">ROUND(F18/12,2)</f>
        <v>305.98</v>
      </c>
      <c r="H18" s="210"/>
      <c r="I18" s="101"/>
      <c r="J18" s="66"/>
      <c r="K18" s="66"/>
      <c r="L18" s="66"/>
      <c r="M18" s="66"/>
      <c r="N18" s="66"/>
      <c r="O18" s="66"/>
    </row>
    <row r="19" spans="1:15" x14ac:dyDescent="0.2">
      <c r="A19" s="167" t="s">
        <v>117</v>
      </c>
      <c r="B19" s="169"/>
      <c r="C19" s="169"/>
      <c r="D19" s="168">
        <f>DATABANK!C$78</f>
        <v>2098.13</v>
      </c>
      <c r="E19" s="201" t="s">
        <v>59</v>
      </c>
      <c r="F19" s="217">
        <f>D19</f>
        <v>2098.13</v>
      </c>
      <c r="G19" s="217">
        <f t="shared" si="0"/>
        <v>174.84</v>
      </c>
      <c r="H19" s="210"/>
      <c r="I19" s="101"/>
      <c r="J19" s="66"/>
      <c r="K19" s="66"/>
      <c r="L19" s="66"/>
      <c r="M19" s="66"/>
      <c r="N19" s="66"/>
      <c r="O19" s="66"/>
    </row>
    <row r="20" spans="1:15" ht="15.75" thickBot="1" x14ac:dyDescent="0.25">
      <c r="A20" s="175" t="s">
        <v>94</v>
      </c>
      <c r="B20" s="176"/>
      <c r="C20" s="177"/>
      <c r="D20" s="178">
        <f>DATABANK!C$92</f>
        <v>7736.86</v>
      </c>
      <c r="E20" s="201" t="s">
        <v>34</v>
      </c>
      <c r="F20" s="218">
        <f>D20</f>
        <v>7736.86</v>
      </c>
      <c r="G20" s="218">
        <f t="shared" si="0"/>
        <v>644.74</v>
      </c>
      <c r="H20" s="211"/>
      <c r="I20" s="101"/>
      <c r="J20" s="66"/>
      <c r="K20" s="66"/>
      <c r="L20" s="66"/>
      <c r="M20" s="66"/>
      <c r="N20" s="66"/>
      <c r="O20" s="66"/>
    </row>
    <row r="21" spans="1:15" ht="15.75" thickBot="1" x14ac:dyDescent="0.25">
      <c r="A21" s="175" t="s">
        <v>118</v>
      </c>
      <c r="B21" s="179"/>
      <c r="C21" s="169" t="s">
        <v>8</v>
      </c>
      <c r="D21" s="178">
        <f>DATABANK!C$95</f>
        <v>9441.6</v>
      </c>
      <c r="E21" s="201" t="s">
        <v>34</v>
      </c>
      <c r="F21" s="218">
        <f>D21*B21</f>
        <v>0</v>
      </c>
      <c r="G21" s="218">
        <f t="shared" si="0"/>
        <v>0</v>
      </c>
      <c r="H21" s="211"/>
      <c r="I21" s="101"/>
      <c r="J21" s="66"/>
      <c r="K21" s="66"/>
      <c r="L21" s="66"/>
      <c r="M21" s="66"/>
      <c r="N21" s="66"/>
      <c r="O21" s="66"/>
    </row>
    <row r="22" spans="1:15" ht="15.75" thickBot="1" x14ac:dyDescent="0.25">
      <c r="A22" s="175" t="s">
        <v>119</v>
      </c>
      <c r="B22" s="180"/>
      <c r="C22" s="169" t="s">
        <v>8</v>
      </c>
      <c r="D22" s="178">
        <f>DATABANK!C$81</f>
        <v>31471.99</v>
      </c>
      <c r="E22" s="201" t="s">
        <v>34</v>
      </c>
      <c r="F22" s="218">
        <f>D22*B22</f>
        <v>0</v>
      </c>
      <c r="G22" s="218">
        <f t="shared" si="0"/>
        <v>0</v>
      </c>
      <c r="H22" s="211"/>
      <c r="I22" s="101"/>
      <c r="J22" s="66"/>
      <c r="K22" s="66"/>
      <c r="L22" s="66"/>
      <c r="M22" s="66"/>
      <c r="N22" s="66"/>
      <c r="O22" s="66"/>
    </row>
    <row r="23" spans="1:15" ht="15.75" thickBot="1" x14ac:dyDescent="0.25">
      <c r="A23" s="175" t="s">
        <v>120</v>
      </c>
      <c r="B23" s="180"/>
      <c r="C23" s="169" t="s">
        <v>8</v>
      </c>
      <c r="D23" s="178">
        <f>DATABANK!C$82</f>
        <v>22292.66</v>
      </c>
      <c r="E23" s="201" t="s">
        <v>34</v>
      </c>
      <c r="F23" s="218">
        <f>D23*B23</f>
        <v>0</v>
      </c>
      <c r="G23" s="218">
        <f t="shared" si="0"/>
        <v>0</v>
      </c>
      <c r="H23" s="211"/>
      <c r="I23" s="101"/>
      <c r="J23" s="66"/>
      <c r="K23" s="66"/>
      <c r="L23" s="66"/>
      <c r="M23" s="66"/>
      <c r="N23" s="66"/>
      <c r="O23" s="66"/>
    </row>
    <row r="24" spans="1:15" ht="15.75" thickBot="1" x14ac:dyDescent="0.25">
      <c r="A24" s="175" t="s">
        <v>83</v>
      </c>
      <c r="B24" s="181"/>
      <c r="C24" s="169" t="s">
        <v>8</v>
      </c>
      <c r="D24" s="178">
        <f>DATABANK!C$83</f>
        <v>13113.33</v>
      </c>
      <c r="E24" s="201" t="s">
        <v>34</v>
      </c>
      <c r="F24" s="218">
        <f t="shared" ref="F24:F29" si="2">B24*D24</f>
        <v>0</v>
      </c>
      <c r="G24" s="218">
        <f t="shared" si="0"/>
        <v>0</v>
      </c>
      <c r="H24" s="211"/>
      <c r="I24" s="101"/>
      <c r="J24" s="66"/>
      <c r="K24" s="66"/>
      <c r="L24" s="66"/>
      <c r="M24" s="66"/>
      <c r="N24" s="66"/>
      <c r="O24" s="66"/>
    </row>
    <row r="25" spans="1:15" ht="15.75" thickBot="1" x14ac:dyDescent="0.25">
      <c r="A25" s="175" t="s">
        <v>121</v>
      </c>
      <c r="B25" s="181"/>
      <c r="C25" s="177"/>
      <c r="D25" s="178">
        <f>DATABANK!C$84</f>
        <v>131.13</v>
      </c>
      <c r="E25" s="202" t="s">
        <v>125</v>
      </c>
      <c r="F25" s="218">
        <f t="shared" si="2"/>
        <v>0</v>
      </c>
      <c r="G25" s="218">
        <f t="shared" si="0"/>
        <v>0</v>
      </c>
      <c r="H25" s="211"/>
      <c r="I25" s="101"/>
      <c r="J25" s="66"/>
      <c r="K25" s="66"/>
      <c r="L25" s="66"/>
      <c r="M25" s="66"/>
      <c r="N25" s="66"/>
      <c r="O25" s="66"/>
    </row>
    <row r="26" spans="1:15" ht="15.75" thickBot="1" x14ac:dyDescent="0.25">
      <c r="A26" s="175" t="s">
        <v>123</v>
      </c>
      <c r="B26" s="179"/>
      <c r="C26" s="169" t="s">
        <v>8</v>
      </c>
      <c r="D26" s="178">
        <f>DATABANK!C$86</f>
        <v>3934</v>
      </c>
      <c r="E26" s="201" t="s">
        <v>34</v>
      </c>
      <c r="F26" s="218">
        <f t="shared" si="2"/>
        <v>0</v>
      </c>
      <c r="G26" s="218">
        <f t="shared" si="0"/>
        <v>0</v>
      </c>
      <c r="H26" s="211"/>
      <c r="I26" s="101"/>
      <c r="J26" s="66"/>
      <c r="K26" s="66"/>
      <c r="L26" s="66"/>
      <c r="M26" s="66"/>
      <c r="N26" s="66"/>
      <c r="O26" s="66"/>
    </row>
    <row r="27" spans="1:15" ht="15.75" thickBot="1" x14ac:dyDescent="0.25">
      <c r="A27" s="175" t="s">
        <v>122</v>
      </c>
      <c r="B27" s="180"/>
      <c r="C27" s="169" t="s">
        <v>8</v>
      </c>
      <c r="D27" s="178">
        <f>DATABANK!C$87</f>
        <v>1311.33</v>
      </c>
      <c r="E27" s="201" t="s">
        <v>34</v>
      </c>
      <c r="F27" s="218">
        <f t="shared" si="2"/>
        <v>0</v>
      </c>
      <c r="G27" s="218">
        <f t="shared" si="0"/>
        <v>0</v>
      </c>
      <c r="H27" s="211"/>
      <c r="I27" s="101"/>
      <c r="J27" s="66"/>
      <c r="K27" s="66"/>
      <c r="L27" s="66"/>
      <c r="M27" s="66"/>
      <c r="N27" s="66"/>
      <c r="O27" s="66"/>
    </row>
    <row r="28" spans="1:15" ht="15.75" thickBot="1" x14ac:dyDescent="0.25">
      <c r="A28" s="175" t="s">
        <v>107</v>
      </c>
      <c r="B28" s="181"/>
      <c r="C28" s="177" t="s">
        <v>8</v>
      </c>
      <c r="D28" s="178">
        <f>DATABANK!C88</f>
        <v>3934</v>
      </c>
      <c r="E28" s="201" t="s">
        <v>34</v>
      </c>
      <c r="F28" s="218">
        <f t="shared" si="2"/>
        <v>0</v>
      </c>
      <c r="G28" s="218">
        <f>ROUND(F28/12,2)</f>
        <v>0</v>
      </c>
      <c r="H28" s="211"/>
      <c r="I28" s="101"/>
      <c r="J28" s="66"/>
      <c r="K28" s="66"/>
      <c r="L28" s="66"/>
      <c r="M28" s="66"/>
      <c r="N28" s="66"/>
      <c r="O28" s="66"/>
    </row>
    <row r="29" spans="1:15" ht="15.75" thickBot="1" x14ac:dyDescent="0.25">
      <c r="A29" s="175" t="s">
        <v>126</v>
      </c>
      <c r="B29" s="181"/>
      <c r="C29" s="177" t="s">
        <v>8</v>
      </c>
      <c r="D29" s="178">
        <f>DATABANK!C$89</f>
        <v>1967</v>
      </c>
      <c r="E29" s="201" t="s">
        <v>34</v>
      </c>
      <c r="F29" s="218">
        <f t="shared" si="2"/>
        <v>0</v>
      </c>
      <c r="G29" s="218">
        <f>ROUND(F29/12,2)</f>
        <v>0</v>
      </c>
      <c r="H29" s="211"/>
      <c r="I29" s="101"/>
      <c r="J29" s="66"/>
      <c r="K29" s="66"/>
      <c r="L29" s="66"/>
      <c r="M29" s="66"/>
      <c r="N29" s="66"/>
      <c r="O29" s="66"/>
    </row>
    <row r="30" spans="1:15" ht="15.75" thickBot="1" x14ac:dyDescent="0.25">
      <c r="A30" s="183" t="s">
        <v>127</v>
      </c>
      <c r="B30" s="181"/>
      <c r="C30" s="177"/>
      <c r="D30" s="178"/>
      <c r="E30" s="201"/>
      <c r="F30" s="219"/>
      <c r="G30" s="219"/>
      <c r="H30" s="211"/>
      <c r="I30" s="101"/>
      <c r="J30" s="117"/>
      <c r="K30" s="118"/>
    </row>
    <row r="31" spans="1:15" x14ac:dyDescent="0.2">
      <c r="A31" s="175" t="s">
        <v>196</v>
      </c>
      <c r="B31" s="246">
        <f>IF(B30&lt;=B$3/37*0,1,0)</f>
        <v>1</v>
      </c>
      <c r="C31" s="169"/>
      <c r="D31" s="168">
        <f>DATABANK!C$64</f>
        <v>17047.330000000002</v>
      </c>
      <c r="E31" s="201" t="s">
        <v>34</v>
      </c>
      <c r="F31" s="218">
        <f t="shared" ref="F31:F33" si="3">D31*B31</f>
        <v>17047.330000000002</v>
      </c>
      <c r="G31" s="218">
        <f t="shared" ref="G31:G39" si="4">ROUND(F31/12,2)</f>
        <v>1420.61</v>
      </c>
      <c r="H31" s="211"/>
      <c r="I31" s="101"/>
    </row>
    <row r="32" spans="1:15" x14ac:dyDescent="0.2">
      <c r="A32" s="175" t="s">
        <v>197</v>
      </c>
      <c r="B32" s="246">
        <f>IF(B30&gt;B$3/37*750.5,1-B33,0)</f>
        <v>0</v>
      </c>
      <c r="C32" s="169"/>
      <c r="D32" s="168">
        <f>DATABANK!C$65</f>
        <v>20194.53</v>
      </c>
      <c r="E32" s="201" t="s">
        <v>34</v>
      </c>
      <c r="F32" s="218">
        <f t="shared" si="3"/>
        <v>0</v>
      </c>
      <c r="G32" s="218">
        <f t="shared" si="4"/>
        <v>0</v>
      </c>
      <c r="H32" s="212"/>
      <c r="I32" s="101"/>
    </row>
    <row r="33" spans="1:11" ht="15.75" thickBot="1" x14ac:dyDescent="0.25">
      <c r="A33" s="175" t="s">
        <v>198</v>
      </c>
      <c r="B33" s="246">
        <f>IF(B30&gt;B$3/37*775.5,1,0)</f>
        <v>0</v>
      </c>
      <c r="C33" s="169"/>
      <c r="D33" s="168">
        <f>DATABANK!C$66</f>
        <v>24128.53</v>
      </c>
      <c r="E33" s="201" t="s">
        <v>34</v>
      </c>
      <c r="F33" s="218">
        <f t="shared" si="3"/>
        <v>0</v>
      </c>
      <c r="G33" s="218">
        <f t="shared" si="4"/>
        <v>0</v>
      </c>
      <c r="H33" s="211"/>
      <c r="I33" s="101"/>
    </row>
    <row r="34" spans="1:11" ht="15.75" thickBot="1" x14ac:dyDescent="0.25">
      <c r="A34" s="260" t="s">
        <v>48</v>
      </c>
      <c r="B34" s="81"/>
      <c r="C34" s="71" t="s">
        <v>7</v>
      </c>
      <c r="D34" s="163">
        <f>DATABANK!$C$101</f>
        <v>42.53</v>
      </c>
      <c r="E34" s="203" t="s">
        <v>14</v>
      </c>
      <c r="F34" s="197">
        <f t="shared" ref="F34:F38" si="5">ROUND(B34*D34,2)</f>
        <v>0</v>
      </c>
      <c r="G34" s="197">
        <f t="shared" si="4"/>
        <v>0</v>
      </c>
      <c r="H34" s="211"/>
      <c r="I34" s="101"/>
    </row>
    <row r="35" spans="1:11" ht="15.75" thickBot="1" x14ac:dyDescent="0.25">
      <c r="A35" s="68" t="s">
        <v>63</v>
      </c>
      <c r="B35" s="81"/>
      <c r="C35" s="71" t="s">
        <v>7</v>
      </c>
      <c r="D35" s="163">
        <f>DATABANK!$C$102</f>
        <v>24.81</v>
      </c>
      <c r="E35" s="203" t="s">
        <v>14</v>
      </c>
      <c r="F35" s="197">
        <f t="shared" si="5"/>
        <v>0</v>
      </c>
      <c r="G35" s="197">
        <f t="shared" si="4"/>
        <v>0</v>
      </c>
      <c r="H35" s="211"/>
      <c r="I35" s="101"/>
    </row>
    <row r="36" spans="1:11" ht="15.75" thickBot="1" x14ac:dyDescent="0.25">
      <c r="A36" s="260" t="s">
        <v>51</v>
      </c>
      <c r="B36" s="81"/>
      <c r="C36" s="71" t="s">
        <v>7</v>
      </c>
      <c r="D36" s="163">
        <f>DATABANK!$C$103</f>
        <v>19.670000000000002</v>
      </c>
      <c r="E36" s="203" t="s">
        <v>14</v>
      </c>
      <c r="F36" s="197">
        <f t="shared" si="5"/>
        <v>0</v>
      </c>
      <c r="G36" s="197">
        <f t="shared" si="4"/>
        <v>0</v>
      </c>
      <c r="H36" s="211"/>
      <c r="I36" s="101"/>
    </row>
    <row r="37" spans="1:11" ht="15.75" thickBot="1" x14ac:dyDescent="0.25">
      <c r="A37" s="68" t="s">
        <v>53</v>
      </c>
      <c r="B37" s="81"/>
      <c r="C37" s="71" t="s">
        <v>7</v>
      </c>
      <c r="D37" s="163">
        <f>DATABANK!$C$104</f>
        <v>33.880000000000003</v>
      </c>
      <c r="E37" s="203" t="s">
        <v>14</v>
      </c>
      <c r="F37" s="197">
        <f t="shared" si="5"/>
        <v>0</v>
      </c>
      <c r="G37" s="197">
        <f t="shared" si="4"/>
        <v>0</v>
      </c>
      <c r="H37" s="211"/>
      <c r="I37" s="101"/>
    </row>
    <row r="38" spans="1:11" ht="15.75" thickBot="1" x14ac:dyDescent="0.25">
      <c r="A38" s="57" t="s">
        <v>61</v>
      </c>
      <c r="B38" s="82"/>
      <c r="C38" s="74" t="s">
        <v>8</v>
      </c>
      <c r="D38" s="163">
        <f>DATABANK!$C$110</f>
        <v>13113.33</v>
      </c>
      <c r="E38" s="203" t="s">
        <v>59</v>
      </c>
      <c r="F38" s="197">
        <f t="shared" si="5"/>
        <v>0</v>
      </c>
      <c r="G38" s="197">
        <f t="shared" si="4"/>
        <v>0</v>
      </c>
      <c r="H38" s="211"/>
      <c r="I38" s="101"/>
    </row>
    <row r="39" spans="1:11" ht="16.5" thickBot="1" x14ac:dyDescent="0.3">
      <c r="A39" s="91" t="s">
        <v>4</v>
      </c>
      <c r="B39" s="92"/>
      <c r="C39" s="93"/>
      <c r="D39" s="94"/>
      <c r="E39" s="95"/>
      <c r="F39" s="158">
        <f>SUM(F4:F38)</f>
        <v>336831.05</v>
      </c>
      <c r="G39" s="158">
        <f t="shared" si="4"/>
        <v>28069.25</v>
      </c>
      <c r="H39" s="213">
        <f>SUM(H4:H38)</f>
        <v>0</v>
      </c>
      <c r="I39" s="101"/>
      <c r="K39" s="64"/>
    </row>
    <row r="40" spans="1:11" ht="16.5" thickBot="1" x14ac:dyDescent="0.3">
      <c r="A40" s="91" t="s">
        <v>72</v>
      </c>
      <c r="B40" s="104"/>
      <c r="C40" s="105"/>
      <c r="D40" s="106"/>
      <c r="E40" s="107"/>
      <c r="F40" s="159"/>
      <c r="G40" s="160">
        <f>H39-G39</f>
        <v>-28069.25</v>
      </c>
      <c r="H40" s="119"/>
      <c r="I40" s="101"/>
      <c r="K40" s="120"/>
    </row>
    <row r="41" spans="1:11" x14ac:dyDescent="0.2">
      <c r="A41" s="109" t="s">
        <v>73</v>
      </c>
      <c r="B41" s="52"/>
      <c r="C41" s="45"/>
      <c r="D41" s="46"/>
      <c r="E41" s="47"/>
    </row>
    <row r="42" spans="1:11" x14ac:dyDescent="0.2">
      <c r="A42" s="438"/>
      <c r="B42" s="439"/>
      <c r="C42" s="439"/>
      <c r="D42" s="439"/>
      <c r="E42" s="439"/>
      <c r="F42" s="439"/>
      <c r="G42" s="439"/>
      <c r="H42" s="440"/>
    </row>
    <row r="43" spans="1:11" x14ac:dyDescent="0.2">
      <c r="A43" s="441"/>
      <c r="B43" s="442"/>
      <c r="C43" s="442"/>
      <c r="D43" s="442"/>
      <c r="E43" s="442"/>
      <c r="F43" s="442"/>
      <c r="G43" s="442"/>
      <c r="H43" s="443"/>
    </row>
    <row r="44" spans="1:11" x14ac:dyDescent="0.2">
      <c r="A44" s="441"/>
      <c r="B44" s="442"/>
      <c r="C44" s="442"/>
      <c r="D44" s="442"/>
      <c r="E44" s="442"/>
      <c r="F44" s="442"/>
      <c r="G44" s="442"/>
      <c r="H44" s="443"/>
    </row>
    <row r="45" spans="1:11" x14ac:dyDescent="0.2">
      <c r="A45" s="441"/>
      <c r="B45" s="442"/>
      <c r="C45" s="442"/>
      <c r="D45" s="442"/>
      <c r="E45" s="442"/>
      <c r="F45" s="442"/>
      <c r="G45" s="442"/>
      <c r="H45" s="443"/>
    </row>
    <row r="46" spans="1:11" x14ac:dyDescent="0.2">
      <c r="A46" s="441"/>
      <c r="B46" s="442"/>
      <c r="C46" s="442"/>
      <c r="D46" s="442"/>
      <c r="E46" s="442"/>
      <c r="F46" s="442"/>
      <c r="G46" s="442"/>
      <c r="H46" s="443"/>
    </row>
    <row r="47" spans="1:11" x14ac:dyDescent="0.2">
      <c r="A47" s="444"/>
      <c r="B47" s="445"/>
      <c r="C47" s="445"/>
      <c r="D47" s="445"/>
      <c r="E47" s="445"/>
      <c r="F47" s="445"/>
      <c r="G47" s="445"/>
      <c r="H47" s="446"/>
    </row>
    <row r="48" spans="1:11" x14ac:dyDescent="0.2">
      <c r="A48" s="57" t="s">
        <v>78</v>
      </c>
      <c r="B48" s="108"/>
    </row>
  </sheetData>
  <mergeCells count="4">
    <mergeCell ref="F1:G1"/>
    <mergeCell ref="F2:G2"/>
    <mergeCell ref="H2:H3"/>
    <mergeCell ref="A42:H47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  <ignoredError sqref="G3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T46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10.77734375" style="14" bestFit="1" customWidth="1"/>
    <col min="5" max="5" width="13.88671875" style="13" customWidth="1"/>
    <col min="6" max="7" width="10.77734375" style="15" customWidth="1"/>
    <col min="8" max="8" width="10.5546875" style="28" customWidth="1"/>
    <col min="9" max="9" width="6.77734375" style="62" bestFit="1" customWidth="1"/>
    <col min="10" max="12" width="6.44140625" style="63" bestFit="1" customWidth="1"/>
    <col min="13" max="18" width="5.77734375" style="63" customWidth="1"/>
    <col min="19" max="19" width="6.44140625" style="63" bestFit="1" customWidth="1"/>
    <col min="20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47" t="s">
        <v>62</v>
      </c>
      <c r="G1" s="448"/>
      <c r="I1" s="309"/>
    </row>
    <row r="2" spans="1:20" ht="15.75" customHeight="1" thickBot="1" x14ac:dyDescent="0.25">
      <c r="A2" s="57"/>
      <c r="B2" s="79"/>
      <c r="C2" s="79"/>
      <c r="D2" s="79"/>
      <c r="E2" s="79"/>
      <c r="F2" s="449" t="str">
        <f>DATABANK!B20</f>
        <v xml:space="preserve"> 1.10.2015 </v>
      </c>
      <c r="G2" s="449"/>
      <c r="H2" s="436" t="s">
        <v>71</v>
      </c>
      <c r="I2" s="450" t="s">
        <v>144</v>
      </c>
      <c r="J2" s="310"/>
    </row>
    <row r="3" spans="1:20" ht="15.75" customHeight="1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83" t="s">
        <v>18</v>
      </c>
      <c r="G3" s="83" t="s">
        <v>17</v>
      </c>
      <c r="H3" s="437"/>
      <c r="I3" s="450"/>
      <c r="J3" s="310"/>
    </row>
    <row r="4" spans="1:20" x14ac:dyDescent="0.2">
      <c r="A4" s="57" t="s">
        <v>9</v>
      </c>
      <c r="B4" s="80">
        <v>35</v>
      </c>
      <c r="C4" s="71"/>
      <c r="D4" s="163">
        <f>DATABANK!B35</f>
        <v>342822</v>
      </c>
      <c r="E4" s="199" t="s">
        <v>33</v>
      </c>
      <c r="F4" s="194">
        <f>ROUND($E$3/100*D4,2)</f>
        <v>342822</v>
      </c>
      <c r="G4" s="194">
        <f>ROUND(F4/12,2)</f>
        <v>28568.5</v>
      </c>
      <c r="H4" s="214"/>
      <c r="I4" s="311"/>
      <c r="J4" s="312"/>
      <c r="K4" s="66"/>
      <c r="L4" s="66"/>
    </row>
    <row r="5" spans="1:20" x14ac:dyDescent="0.2">
      <c r="A5" s="185" t="s">
        <v>141</v>
      </c>
      <c r="B5" s="74"/>
      <c r="C5" s="74"/>
      <c r="D5" s="165">
        <f>DATABANK!C106</f>
        <v>4261.83</v>
      </c>
      <c r="E5" s="200" t="s">
        <v>33</v>
      </c>
      <c r="F5" s="195">
        <f>ROUND(E$3/100*D5,2)</f>
        <v>4261.83</v>
      </c>
      <c r="G5" s="195">
        <f t="shared" ref="G5" si="0">ROUND(F5/12,2)</f>
        <v>355.15</v>
      </c>
      <c r="H5" s="214"/>
      <c r="I5" s="311"/>
      <c r="J5" s="312"/>
      <c r="K5" s="66"/>
      <c r="L5" s="66"/>
      <c r="M5" s="66"/>
      <c r="T5" s="63"/>
    </row>
    <row r="6" spans="1:20" x14ac:dyDescent="0.2">
      <c r="A6" s="167" t="s">
        <v>116</v>
      </c>
      <c r="B6" s="169"/>
      <c r="C6" s="169"/>
      <c r="D6" s="168">
        <f>(DATABANK!B39-DATABANK!B35)</f>
        <v>20504</v>
      </c>
      <c r="E6" s="201" t="s">
        <v>33</v>
      </c>
      <c r="F6" s="217">
        <f>ROUND(E$3/100*D6,2)</f>
        <v>20504</v>
      </c>
      <c r="G6" s="217">
        <f t="shared" ref="G6:G7" si="1">ROUND(F6/12,2)</f>
        <v>1708.67</v>
      </c>
      <c r="H6" s="214"/>
      <c r="I6" s="311"/>
      <c r="J6" s="312"/>
      <c r="K6" s="66"/>
      <c r="L6" s="66"/>
      <c r="M6" s="62"/>
      <c r="N6" s="62"/>
      <c r="O6" s="62"/>
      <c r="P6" s="62"/>
      <c r="Q6" s="62"/>
      <c r="R6" s="62"/>
    </row>
    <row r="7" spans="1:20" x14ac:dyDescent="0.2">
      <c r="A7" s="167" t="s">
        <v>117</v>
      </c>
      <c r="B7" s="169"/>
      <c r="C7" s="169"/>
      <c r="D7" s="168">
        <f>DATABANK!C78</f>
        <v>2098.13</v>
      </c>
      <c r="E7" s="201" t="s">
        <v>59</v>
      </c>
      <c r="F7" s="217">
        <f>D7</f>
        <v>2098.13</v>
      </c>
      <c r="G7" s="217">
        <f t="shared" si="1"/>
        <v>174.84</v>
      </c>
      <c r="H7" s="214"/>
      <c r="I7" s="313">
        <f>0.173*G7</f>
        <v>30.247319999999998</v>
      </c>
      <c r="J7" s="66"/>
      <c r="K7" s="66"/>
      <c r="L7" s="66"/>
      <c r="M7" s="66"/>
      <c r="T7" s="63"/>
    </row>
    <row r="8" spans="1:20" ht="15.75" thickBot="1" x14ac:dyDescent="0.25">
      <c r="A8" s="175" t="s">
        <v>94</v>
      </c>
      <c r="B8" s="176"/>
      <c r="C8" s="177"/>
      <c r="D8" s="178">
        <f>DATABANK!C92</f>
        <v>7736.86</v>
      </c>
      <c r="E8" s="201" t="s">
        <v>34</v>
      </c>
      <c r="F8" s="218">
        <f>D8</f>
        <v>7736.86</v>
      </c>
      <c r="G8" s="218">
        <f t="shared" ref="G8:G14" si="2">ROUND(F8/12,2)</f>
        <v>644.74</v>
      </c>
      <c r="H8" s="215"/>
      <c r="I8" s="311">
        <f t="shared" ref="I8:I20" si="3">0.173*G8</f>
        <v>111.54002</v>
      </c>
      <c r="J8" s="312"/>
      <c r="K8" s="66"/>
      <c r="L8" s="66"/>
      <c r="M8" s="66"/>
      <c r="T8" s="63"/>
    </row>
    <row r="9" spans="1:20" ht="15.75" thickBot="1" x14ac:dyDescent="0.25">
      <c r="A9" s="175" t="s">
        <v>118</v>
      </c>
      <c r="B9" s="179"/>
      <c r="C9" s="169" t="s">
        <v>8</v>
      </c>
      <c r="D9" s="178">
        <f>DATABANK!C$95</f>
        <v>9441.6</v>
      </c>
      <c r="E9" s="201" t="s">
        <v>34</v>
      </c>
      <c r="F9" s="218">
        <f>D9*B9</f>
        <v>0</v>
      </c>
      <c r="G9" s="218">
        <f t="shared" si="2"/>
        <v>0</v>
      </c>
      <c r="H9" s="215"/>
      <c r="I9" s="311">
        <f t="shared" si="3"/>
        <v>0</v>
      </c>
      <c r="J9" s="312"/>
      <c r="K9" s="66"/>
      <c r="L9" s="66"/>
      <c r="M9" s="66"/>
      <c r="T9" s="63"/>
    </row>
    <row r="10" spans="1:20" ht="15.75" thickBot="1" x14ac:dyDescent="0.25">
      <c r="A10" s="175" t="s">
        <v>119</v>
      </c>
      <c r="B10" s="180"/>
      <c r="C10" s="169" t="s">
        <v>8</v>
      </c>
      <c r="D10" s="178">
        <f>DATABANK!C$81</f>
        <v>31471.99</v>
      </c>
      <c r="E10" s="201" t="s">
        <v>34</v>
      </c>
      <c r="F10" s="218">
        <f>D10*B10</f>
        <v>0</v>
      </c>
      <c r="G10" s="218">
        <f t="shared" si="2"/>
        <v>0</v>
      </c>
      <c r="H10" s="215"/>
      <c r="I10" s="311">
        <f t="shared" si="3"/>
        <v>0</v>
      </c>
      <c r="J10" s="312"/>
      <c r="K10" s="66"/>
      <c r="L10" s="66"/>
      <c r="M10" s="66"/>
      <c r="T10" s="63"/>
    </row>
    <row r="11" spans="1:20" ht="15.75" thickBot="1" x14ac:dyDescent="0.25">
      <c r="A11" s="175" t="s">
        <v>120</v>
      </c>
      <c r="B11" s="180"/>
      <c r="C11" s="169" t="s">
        <v>8</v>
      </c>
      <c r="D11" s="178">
        <f>DATABANK!C$82</f>
        <v>22292.66</v>
      </c>
      <c r="E11" s="201" t="s">
        <v>34</v>
      </c>
      <c r="F11" s="218">
        <f>D11*B11</f>
        <v>0</v>
      </c>
      <c r="G11" s="218">
        <f t="shared" si="2"/>
        <v>0</v>
      </c>
      <c r="H11" s="215"/>
      <c r="I11" s="311">
        <f t="shared" si="3"/>
        <v>0</v>
      </c>
      <c r="J11" s="312"/>
      <c r="K11" s="66"/>
      <c r="L11" s="66"/>
      <c r="M11" s="66"/>
      <c r="T11" s="63"/>
    </row>
    <row r="12" spans="1:20" ht="15.75" thickBot="1" x14ac:dyDescent="0.25">
      <c r="A12" s="175" t="s">
        <v>121</v>
      </c>
      <c r="B12" s="181"/>
      <c r="C12" s="177"/>
      <c r="D12" s="178">
        <f>DATABANK!C85</f>
        <v>98.35</v>
      </c>
      <c r="E12" s="202" t="s">
        <v>125</v>
      </c>
      <c r="F12" s="218">
        <f>B12*D12</f>
        <v>0</v>
      </c>
      <c r="G12" s="218">
        <f t="shared" si="2"/>
        <v>0</v>
      </c>
      <c r="H12" s="215"/>
      <c r="I12" s="311">
        <f t="shared" si="3"/>
        <v>0</v>
      </c>
      <c r="J12" s="312"/>
      <c r="K12" s="66"/>
      <c r="L12" s="66"/>
      <c r="M12" s="66"/>
      <c r="T12" s="63"/>
    </row>
    <row r="13" spans="1:20" ht="15.75" thickBot="1" x14ac:dyDescent="0.25">
      <c r="A13" s="175" t="s">
        <v>123</v>
      </c>
      <c r="B13" s="179"/>
      <c r="C13" s="169" t="s">
        <v>8</v>
      </c>
      <c r="D13" s="178">
        <f>DATABANK!C$86</f>
        <v>3934</v>
      </c>
      <c r="E13" s="201" t="s">
        <v>34</v>
      </c>
      <c r="F13" s="218">
        <f>B13*D13</f>
        <v>0</v>
      </c>
      <c r="G13" s="218">
        <f t="shared" si="2"/>
        <v>0</v>
      </c>
      <c r="H13" s="215"/>
      <c r="I13" s="311">
        <f t="shared" si="3"/>
        <v>0</v>
      </c>
      <c r="J13" s="312"/>
      <c r="K13" s="66"/>
      <c r="L13" s="66"/>
      <c r="M13" s="66"/>
      <c r="T13" s="63"/>
    </row>
    <row r="14" spans="1:20" ht="15.75" thickBot="1" x14ac:dyDescent="0.25">
      <c r="A14" s="175" t="s">
        <v>122</v>
      </c>
      <c r="B14" s="180"/>
      <c r="C14" s="169" t="s">
        <v>8</v>
      </c>
      <c r="D14" s="178">
        <f>DATABANK!C$87</f>
        <v>1311.33</v>
      </c>
      <c r="E14" s="201" t="s">
        <v>34</v>
      </c>
      <c r="F14" s="218">
        <f>B14*D14</f>
        <v>0</v>
      </c>
      <c r="G14" s="218">
        <f t="shared" si="2"/>
        <v>0</v>
      </c>
      <c r="H14" s="215"/>
      <c r="I14" s="311">
        <f t="shared" si="3"/>
        <v>0</v>
      </c>
      <c r="J14" s="312"/>
      <c r="K14" s="66"/>
      <c r="L14" s="66"/>
      <c r="M14" s="66"/>
      <c r="T14" s="63"/>
    </row>
    <row r="15" spans="1:20" ht="15.75" thickBot="1" x14ac:dyDescent="0.25">
      <c r="A15" s="175" t="s">
        <v>107</v>
      </c>
      <c r="B15" s="181"/>
      <c r="C15" s="177" t="s">
        <v>8</v>
      </c>
      <c r="D15" s="178">
        <f>DATABANK!C88</f>
        <v>3934</v>
      </c>
      <c r="E15" s="201" t="s">
        <v>34</v>
      </c>
      <c r="F15" s="218">
        <f>B15*D15</f>
        <v>0</v>
      </c>
      <c r="G15" s="218">
        <f>ROUND(F15/12,2)</f>
        <v>0</v>
      </c>
      <c r="H15" s="215"/>
      <c r="I15" s="311">
        <f t="shared" si="3"/>
        <v>0</v>
      </c>
      <c r="J15" s="312"/>
      <c r="K15" s="66"/>
      <c r="L15" s="66"/>
      <c r="M15" s="66"/>
      <c r="T15" s="63"/>
    </row>
    <row r="16" spans="1:20" ht="15.75" thickBot="1" x14ac:dyDescent="0.25">
      <c r="A16" s="175" t="s">
        <v>126</v>
      </c>
      <c r="B16" s="181"/>
      <c r="C16" s="177" t="s">
        <v>8</v>
      </c>
      <c r="D16" s="178">
        <f>DATABANK!C$89</f>
        <v>1967</v>
      </c>
      <c r="E16" s="201" t="s">
        <v>34</v>
      </c>
      <c r="F16" s="218">
        <f>B16*D16</f>
        <v>0</v>
      </c>
      <c r="G16" s="218">
        <f>ROUND(F16/12,2)</f>
        <v>0</v>
      </c>
      <c r="H16" s="215"/>
      <c r="I16" s="311">
        <f t="shared" si="3"/>
        <v>0</v>
      </c>
      <c r="J16" s="312"/>
      <c r="K16" s="66"/>
      <c r="L16" s="66"/>
      <c r="M16" s="66"/>
      <c r="T16" s="63"/>
    </row>
    <row r="17" spans="1:20" ht="15.75" thickBot="1" x14ac:dyDescent="0.25">
      <c r="A17" s="183" t="s">
        <v>127</v>
      </c>
      <c r="B17" s="181"/>
      <c r="C17" s="177"/>
      <c r="D17" s="178"/>
      <c r="E17" s="201"/>
      <c r="F17" s="219"/>
      <c r="G17" s="219"/>
      <c r="H17" s="215"/>
      <c r="I17" s="311">
        <f t="shared" si="3"/>
        <v>0</v>
      </c>
      <c r="J17" s="314"/>
      <c r="T17" s="63"/>
    </row>
    <row r="18" spans="1:20" x14ac:dyDescent="0.2">
      <c r="A18" s="272" t="s">
        <v>196</v>
      </c>
      <c r="B18" s="246">
        <f>IF(B17&gt;=B$3/37*0,1-B19-B20,0)</f>
        <v>1</v>
      </c>
      <c r="C18" s="169"/>
      <c r="D18" s="168">
        <f>B3/37*DATABANK!B73</f>
        <v>5500</v>
      </c>
      <c r="E18" s="201" t="s">
        <v>34</v>
      </c>
      <c r="F18" s="218">
        <f t="shared" ref="F18:F20" si="4">D18*B18</f>
        <v>5500</v>
      </c>
      <c r="G18" s="218">
        <f t="shared" ref="G18:G26" si="5">ROUND(F18/12,2)</f>
        <v>458.33</v>
      </c>
      <c r="H18" s="215"/>
      <c r="I18" s="311">
        <f t="shared" si="3"/>
        <v>79.291089999999997</v>
      </c>
      <c r="J18" s="314"/>
      <c r="T18" s="63"/>
    </row>
    <row r="19" spans="1:20" x14ac:dyDescent="0.2">
      <c r="A19" s="272" t="s">
        <v>197</v>
      </c>
      <c r="B19" s="246">
        <f>IF(B17&gt;B$3/37*750.5,1-B20,0)</f>
        <v>0</v>
      </c>
      <c r="C19" s="169"/>
      <c r="D19" s="168">
        <f>DATABANK!C74</f>
        <v>10359.530000000001</v>
      </c>
      <c r="E19" s="201" t="s">
        <v>34</v>
      </c>
      <c r="F19" s="218">
        <f t="shared" si="4"/>
        <v>0</v>
      </c>
      <c r="G19" s="218">
        <f t="shared" si="5"/>
        <v>0</v>
      </c>
      <c r="H19" s="216"/>
      <c r="I19" s="311">
        <f t="shared" si="3"/>
        <v>0</v>
      </c>
      <c r="J19" s="314"/>
      <c r="T19" s="63"/>
    </row>
    <row r="20" spans="1:20" ht="15.75" thickBot="1" x14ac:dyDescent="0.25">
      <c r="A20" s="272" t="s">
        <v>198</v>
      </c>
      <c r="B20" s="246">
        <f>IF(B17&gt;B$3/37*775.5,1,0)</f>
        <v>0</v>
      </c>
      <c r="C20" s="169"/>
      <c r="D20" s="168">
        <f>DATABANK!C75</f>
        <v>14293.53</v>
      </c>
      <c r="E20" s="201" t="s">
        <v>34</v>
      </c>
      <c r="F20" s="218">
        <f t="shared" si="4"/>
        <v>0</v>
      </c>
      <c r="G20" s="218">
        <f t="shared" si="5"/>
        <v>0</v>
      </c>
      <c r="H20" s="215"/>
      <c r="I20" s="311">
        <f t="shared" si="3"/>
        <v>0</v>
      </c>
      <c r="J20" s="314"/>
      <c r="T20" s="63"/>
    </row>
    <row r="21" spans="1:20" ht="15.75" thickBot="1" x14ac:dyDescent="0.25">
      <c r="A21" s="260" t="s">
        <v>48</v>
      </c>
      <c r="B21" s="81"/>
      <c r="C21" s="71" t="s">
        <v>7</v>
      </c>
      <c r="D21" s="163">
        <f>DATABANK!$C$101</f>
        <v>42.53</v>
      </c>
      <c r="E21" s="203" t="s">
        <v>14</v>
      </c>
      <c r="F21" s="197">
        <f t="shared" ref="F21:F25" si="6">ROUND(B21*D21,2)</f>
        <v>0</v>
      </c>
      <c r="G21" s="197">
        <f t="shared" si="5"/>
        <v>0</v>
      </c>
      <c r="H21" s="215"/>
      <c r="I21" s="311">
        <f t="shared" ref="I21:I25" si="7">0.173*G21</f>
        <v>0</v>
      </c>
      <c r="J21" s="314"/>
      <c r="T21" s="63"/>
    </row>
    <row r="22" spans="1:20" ht="15.75" thickBot="1" x14ac:dyDescent="0.25">
      <c r="A22" s="68" t="s">
        <v>63</v>
      </c>
      <c r="B22" s="81"/>
      <c r="C22" s="71" t="s">
        <v>7</v>
      </c>
      <c r="D22" s="163">
        <f>DATABANK!$C$102</f>
        <v>24.81</v>
      </c>
      <c r="E22" s="203" t="s">
        <v>14</v>
      </c>
      <c r="F22" s="197">
        <f t="shared" si="6"/>
        <v>0</v>
      </c>
      <c r="G22" s="197">
        <f t="shared" si="5"/>
        <v>0</v>
      </c>
      <c r="H22" s="215"/>
      <c r="I22" s="311">
        <f t="shared" si="7"/>
        <v>0</v>
      </c>
      <c r="J22" s="314"/>
      <c r="T22" s="63"/>
    </row>
    <row r="23" spans="1:20" ht="15.75" thickBot="1" x14ac:dyDescent="0.25">
      <c r="A23" s="260" t="s">
        <v>51</v>
      </c>
      <c r="B23" s="81"/>
      <c r="C23" s="71" t="s">
        <v>7</v>
      </c>
      <c r="D23" s="163">
        <f>DATABANK!$C$103</f>
        <v>19.670000000000002</v>
      </c>
      <c r="E23" s="203" t="s">
        <v>14</v>
      </c>
      <c r="F23" s="197">
        <f t="shared" si="6"/>
        <v>0</v>
      </c>
      <c r="G23" s="197">
        <f t="shared" si="5"/>
        <v>0</v>
      </c>
      <c r="H23" s="215"/>
      <c r="I23" s="311">
        <f t="shared" si="7"/>
        <v>0</v>
      </c>
      <c r="J23" s="314"/>
      <c r="T23" s="63"/>
    </row>
    <row r="24" spans="1:20" ht="15.75" thickBot="1" x14ac:dyDescent="0.25">
      <c r="A24" s="68" t="s">
        <v>53</v>
      </c>
      <c r="B24" s="81"/>
      <c r="C24" s="71" t="s">
        <v>7</v>
      </c>
      <c r="D24" s="163">
        <f>DATABANK!$C$104</f>
        <v>33.880000000000003</v>
      </c>
      <c r="E24" s="203" t="s">
        <v>14</v>
      </c>
      <c r="F24" s="197">
        <f t="shared" si="6"/>
        <v>0</v>
      </c>
      <c r="G24" s="197">
        <f t="shared" si="5"/>
        <v>0</v>
      </c>
      <c r="H24" s="215"/>
      <c r="I24" s="311">
        <f t="shared" si="7"/>
        <v>0</v>
      </c>
      <c r="J24" s="314"/>
      <c r="T24" s="63"/>
    </row>
    <row r="25" spans="1:20" ht="15.75" thickBot="1" x14ac:dyDescent="0.25">
      <c r="A25" s="57" t="s">
        <v>61</v>
      </c>
      <c r="B25" s="82"/>
      <c r="C25" s="74" t="s">
        <v>8</v>
      </c>
      <c r="D25" s="163">
        <f>DATABANK!$C$110</f>
        <v>13113.33</v>
      </c>
      <c r="E25" s="203" t="s">
        <v>59</v>
      </c>
      <c r="F25" s="197">
        <f t="shared" si="6"/>
        <v>0</v>
      </c>
      <c r="G25" s="197">
        <f t="shared" si="5"/>
        <v>0</v>
      </c>
      <c r="H25" s="215"/>
      <c r="I25" s="311">
        <f t="shared" si="7"/>
        <v>0</v>
      </c>
      <c r="J25" s="314"/>
      <c r="T25" s="63"/>
    </row>
    <row r="26" spans="1:20" ht="16.5" thickBot="1" x14ac:dyDescent="0.3">
      <c r="A26" s="91" t="s">
        <v>4</v>
      </c>
      <c r="B26" s="92"/>
      <c r="C26" s="93"/>
      <c r="D26" s="94"/>
      <c r="E26" s="95"/>
      <c r="F26" s="158">
        <f>SUM(F4:F25)</f>
        <v>382922.82</v>
      </c>
      <c r="G26" s="158">
        <f t="shared" si="5"/>
        <v>31910.240000000002</v>
      </c>
      <c r="H26" s="213">
        <f>SUM(H4:H25)</f>
        <v>0</v>
      </c>
      <c r="I26" s="315">
        <f>SUM(I4:I25)</f>
        <v>221.07843</v>
      </c>
      <c r="J26" s="314"/>
      <c r="T26" s="63"/>
    </row>
    <row r="27" spans="1:20" ht="16.5" thickBot="1" x14ac:dyDescent="0.3">
      <c r="A27" s="91" t="s">
        <v>72</v>
      </c>
      <c r="B27" s="104"/>
      <c r="C27" s="105"/>
      <c r="D27" s="106"/>
      <c r="E27" s="107"/>
      <c r="F27" s="159"/>
      <c r="G27" s="160">
        <f>H26-G26</f>
        <v>-31910.240000000002</v>
      </c>
      <c r="H27" s="119"/>
      <c r="J27" s="65"/>
      <c r="T27" s="63"/>
    </row>
    <row r="28" spans="1:20" x14ac:dyDescent="0.2">
      <c r="A28" s="109" t="s">
        <v>73</v>
      </c>
      <c r="B28" s="52"/>
      <c r="C28" s="45"/>
      <c r="D28" s="46"/>
      <c r="E28" s="47"/>
      <c r="F28" s="161"/>
      <c r="G28" s="161"/>
      <c r="H28" s="15"/>
      <c r="J28" s="65"/>
      <c r="T28" s="63"/>
    </row>
    <row r="29" spans="1:20" x14ac:dyDescent="0.2">
      <c r="A29" s="438"/>
      <c r="B29" s="439"/>
      <c r="C29" s="439"/>
      <c r="D29" s="439"/>
      <c r="E29" s="439"/>
      <c r="F29" s="439"/>
      <c r="G29" s="439"/>
      <c r="H29" s="440"/>
      <c r="J29" s="65"/>
      <c r="T29" s="63"/>
    </row>
    <row r="30" spans="1:20" x14ac:dyDescent="0.2">
      <c r="A30" s="441"/>
      <c r="B30" s="442"/>
      <c r="C30" s="442"/>
      <c r="D30" s="442"/>
      <c r="E30" s="442"/>
      <c r="F30" s="442"/>
      <c r="G30" s="442"/>
      <c r="H30" s="443"/>
      <c r="J30" s="65"/>
      <c r="T30" s="63"/>
    </row>
    <row r="31" spans="1:20" x14ac:dyDescent="0.2">
      <c r="A31" s="441"/>
      <c r="B31" s="442"/>
      <c r="C31" s="442"/>
      <c r="D31" s="442"/>
      <c r="E31" s="442"/>
      <c r="F31" s="442"/>
      <c r="G31" s="442"/>
      <c r="H31" s="443"/>
      <c r="J31" s="65"/>
      <c r="T31" s="63"/>
    </row>
    <row r="32" spans="1:20" x14ac:dyDescent="0.2">
      <c r="A32" s="441"/>
      <c r="B32" s="442"/>
      <c r="C32" s="442"/>
      <c r="D32" s="442"/>
      <c r="E32" s="442"/>
      <c r="F32" s="442"/>
      <c r="G32" s="442"/>
      <c r="H32" s="443"/>
      <c r="J32" s="65"/>
      <c r="T32" s="63"/>
    </row>
    <row r="33" spans="1:20" x14ac:dyDescent="0.2">
      <c r="A33" s="441"/>
      <c r="B33" s="442"/>
      <c r="C33" s="442"/>
      <c r="D33" s="442"/>
      <c r="E33" s="442"/>
      <c r="F33" s="442"/>
      <c r="G33" s="442"/>
      <c r="H33" s="443"/>
      <c r="J33" s="65"/>
      <c r="T33" s="63"/>
    </row>
    <row r="34" spans="1:20" x14ac:dyDescent="0.2">
      <c r="A34" s="444"/>
      <c r="B34" s="445"/>
      <c r="C34" s="445"/>
      <c r="D34" s="445"/>
      <c r="E34" s="445"/>
      <c r="F34" s="445"/>
      <c r="G34" s="445"/>
      <c r="H34" s="446"/>
      <c r="J34" s="65"/>
      <c r="T34" s="63"/>
    </row>
    <row r="35" spans="1:20" x14ac:dyDescent="0.2">
      <c r="A35" s="57" t="s">
        <v>78</v>
      </c>
      <c r="B35" s="108"/>
      <c r="F35" s="161"/>
      <c r="G35" s="161"/>
      <c r="H35" s="15"/>
      <c r="J35" s="65"/>
      <c r="T35" s="63"/>
    </row>
    <row r="36" spans="1:20" x14ac:dyDescent="0.2">
      <c r="F36" s="161"/>
      <c r="G36" s="161"/>
      <c r="H36" s="15"/>
      <c r="J36" s="65"/>
      <c r="T36" s="63"/>
    </row>
    <row r="37" spans="1:20" x14ac:dyDescent="0.2">
      <c r="F37" s="161"/>
      <c r="G37" s="161"/>
      <c r="H37" s="15"/>
      <c r="J37" s="65"/>
      <c r="T37" s="63"/>
    </row>
    <row r="38" spans="1:20" x14ac:dyDescent="0.2">
      <c r="F38" s="161"/>
      <c r="G38" s="161"/>
      <c r="H38" s="15"/>
      <c r="J38" s="65"/>
      <c r="T38" s="63"/>
    </row>
    <row r="39" spans="1:20" x14ac:dyDescent="0.2">
      <c r="F39" s="161"/>
      <c r="G39" s="161"/>
      <c r="H39" s="15"/>
      <c r="J39" s="65"/>
      <c r="T39" s="63"/>
    </row>
    <row r="40" spans="1:20" x14ac:dyDescent="0.2">
      <c r="F40" s="161"/>
      <c r="G40" s="161"/>
      <c r="H40" s="15"/>
      <c r="J40" s="65"/>
      <c r="T40" s="63"/>
    </row>
    <row r="41" spans="1:20" x14ac:dyDescent="0.2">
      <c r="F41" s="161"/>
      <c r="G41" s="161"/>
      <c r="H41" s="15"/>
      <c r="J41" s="65"/>
      <c r="T41" s="63"/>
    </row>
    <row r="42" spans="1:20" x14ac:dyDescent="0.2">
      <c r="F42" s="161"/>
      <c r="G42" s="161"/>
      <c r="H42" s="15"/>
      <c r="J42" s="65"/>
      <c r="T42" s="63"/>
    </row>
    <row r="43" spans="1:20" x14ac:dyDescent="0.2">
      <c r="F43" s="161"/>
      <c r="G43" s="161"/>
      <c r="H43" s="15"/>
      <c r="J43" s="65"/>
      <c r="T43" s="63"/>
    </row>
    <row r="44" spans="1:20" x14ac:dyDescent="0.2">
      <c r="F44" s="161"/>
      <c r="G44" s="161"/>
      <c r="H44" s="15"/>
      <c r="J44" s="65"/>
      <c r="T44" s="63"/>
    </row>
    <row r="45" spans="1:20" x14ac:dyDescent="0.2">
      <c r="F45" s="161"/>
      <c r="G45" s="161"/>
      <c r="H45" s="15"/>
      <c r="J45" s="65"/>
      <c r="T45" s="63"/>
    </row>
    <row r="46" spans="1:20" x14ac:dyDescent="0.2">
      <c r="F46" s="161"/>
      <c r="G46" s="161"/>
      <c r="H46" s="15"/>
      <c r="J46" s="65"/>
      <c r="T46" s="63"/>
    </row>
  </sheetData>
  <mergeCells count="5">
    <mergeCell ref="F1:G1"/>
    <mergeCell ref="F2:G2"/>
    <mergeCell ref="H2:H3"/>
    <mergeCell ref="A29:H34"/>
    <mergeCell ref="I2:I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7" orientation="portrait" r:id="rId1"/>
  <headerFooter alignWithMargins="0"/>
  <ignoredErrors>
    <ignoredError sqref="E3" unlockedFormula="1"/>
    <ignoredError sqref="G2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V63"/>
  <sheetViews>
    <sheetView zoomScaleNormal="100" workbookViewId="0"/>
  </sheetViews>
  <sheetFormatPr defaultRowHeight="15" x14ac:dyDescent="0.2"/>
  <cols>
    <col min="1" max="1" width="18" style="1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5" customWidth="1"/>
    <col min="8" max="8" width="10.44140625" style="28" bestFit="1" customWidth="1"/>
    <col min="9" max="10" width="6.44140625" style="62" bestFit="1" customWidth="1"/>
    <col min="11" max="11" width="6.44140625" style="125" bestFit="1" customWidth="1"/>
    <col min="12" max="14" width="6.44140625" style="63" bestFit="1" customWidth="1"/>
    <col min="15" max="20" width="5.77734375" style="63" customWidth="1"/>
    <col min="21" max="21" width="6.44140625" style="63" bestFit="1" customWidth="1"/>
    <col min="22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47" t="s">
        <v>6</v>
      </c>
      <c r="G1" s="448"/>
      <c r="I1" s="117"/>
    </row>
    <row r="2" spans="1:20" ht="16.5" thickBot="1" x14ac:dyDescent="0.3">
      <c r="A2" s="166" t="s">
        <v>134</v>
      </c>
      <c r="B2" s="73"/>
      <c r="C2" s="68" t="s">
        <v>180</v>
      </c>
      <c r="D2" s="79"/>
      <c r="E2" s="79"/>
      <c r="F2" s="149"/>
      <c r="G2" s="149"/>
      <c r="I2" s="117"/>
    </row>
    <row r="3" spans="1:20" ht="16.5" thickBot="1" x14ac:dyDescent="0.3">
      <c r="A3" s="166" t="s">
        <v>133</v>
      </c>
      <c r="B3" s="73"/>
      <c r="C3" s="68" t="s">
        <v>180</v>
      </c>
      <c r="D3" s="79"/>
      <c r="E3" s="286" t="s">
        <v>169</v>
      </c>
      <c r="F3" s="149"/>
      <c r="G3" s="149"/>
      <c r="I3" s="117"/>
    </row>
    <row r="4" spans="1:20" ht="16.5" thickBot="1" x14ac:dyDescent="0.3">
      <c r="A4" s="166" t="s">
        <v>128</v>
      </c>
      <c r="B4" s="73"/>
      <c r="C4" s="68" t="s">
        <v>180</v>
      </c>
      <c r="D4" s="79"/>
      <c r="E4" s="79"/>
      <c r="F4" s="149"/>
      <c r="G4" s="149"/>
      <c r="I4" s="117"/>
    </row>
    <row r="5" spans="1:20" ht="16.5" thickBot="1" x14ac:dyDescent="0.3">
      <c r="A5" s="166" t="s">
        <v>179</v>
      </c>
      <c r="B5" s="73"/>
      <c r="C5" s="68" t="s">
        <v>180</v>
      </c>
      <c r="D5" s="344" t="str">
        <f>IF(B2+B3+B4+B5+B6&gt;1,"  HOV - sæt kun 1 tal ved skole",".")</f>
        <v>.</v>
      </c>
      <c r="E5" s="79"/>
      <c r="F5" s="316"/>
      <c r="G5" s="316"/>
      <c r="I5" s="117"/>
    </row>
    <row r="6" spans="1:20" ht="16.5" thickBot="1" x14ac:dyDescent="0.3">
      <c r="A6" s="166" t="s">
        <v>167</v>
      </c>
      <c r="B6" s="73"/>
      <c r="C6" s="68" t="s">
        <v>8</v>
      </c>
      <c r="D6" s="166" t="s">
        <v>168</v>
      </c>
      <c r="E6" s="79"/>
      <c r="F6" s="149"/>
      <c r="G6" s="149"/>
      <c r="I6" s="117"/>
    </row>
    <row r="7" spans="1:20" ht="16.5" thickBot="1" x14ac:dyDescent="0.3">
      <c r="A7" s="123" t="str">
        <f>IF(B10+B15+B19+B23&gt;1,"Snyd! - du skal kun skrive i 1 af de 4 felter for anciennitet",".")</f>
        <v>.</v>
      </c>
      <c r="C7" s="79"/>
      <c r="D7" s="79"/>
      <c r="E7" s="79"/>
      <c r="F7" s="449" t="str">
        <f>DATABANK!B20</f>
        <v xml:space="preserve"> 1.10.2015 </v>
      </c>
      <c r="G7" s="449"/>
      <c r="H7" s="436" t="s">
        <v>71</v>
      </c>
      <c r="I7" s="117"/>
    </row>
    <row r="8" spans="1:20" ht="15.75" thickBot="1" x14ac:dyDescent="0.25">
      <c r="A8" s="57" t="s">
        <v>19</v>
      </c>
      <c r="B8" s="126">
        <v>37</v>
      </c>
      <c r="C8" s="68"/>
      <c r="D8" s="69" t="s">
        <v>13</v>
      </c>
      <c r="E8" s="121">
        <f>B8/0.37</f>
        <v>100</v>
      </c>
      <c r="F8" s="83" t="s">
        <v>18</v>
      </c>
      <c r="G8" s="83" t="s">
        <v>17</v>
      </c>
      <c r="H8" s="437"/>
      <c r="I8" s="117"/>
    </row>
    <row r="9" spans="1:20" ht="15.75" thickBot="1" x14ac:dyDescent="0.25">
      <c r="A9" s="57" t="s">
        <v>9</v>
      </c>
      <c r="B9" s="80">
        <v>30</v>
      </c>
      <c r="C9" s="71"/>
      <c r="D9" s="163">
        <f>DATABANK!B30</f>
        <v>319428</v>
      </c>
      <c r="E9" s="72" t="s">
        <v>33</v>
      </c>
      <c r="F9" s="194">
        <f>ROUND($E$8/100*D9,2)</f>
        <v>319428</v>
      </c>
      <c r="G9" s="194">
        <f>ROUND(F9/12,2)</f>
        <v>26619</v>
      </c>
      <c r="H9" s="210"/>
      <c r="I9" s="117"/>
      <c r="M9" s="66"/>
      <c r="N9" s="66"/>
    </row>
    <row r="10" spans="1:20" ht="15.75" thickBot="1" x14ac:dyDescent="0.25">
      <c r="A10" s="132" t="s">
        <v>55</v>
      </c>
      <c r="B10" s="73"/>
      <c r="C10" s="84" t="s">
        <v>8</v>
      </c>
      <c r="D10" s="164"/>
      <c r="E10" s="85"/>
      <c r="F10" s="194"/>
      <c r="G10" s="194"/>
      <c r="H10" s="210"/>
      <c r="I10" s="117"/>
      <c r="M10" s="66"/>
      <c r="N10" s="66"/>
      <c r="O10" s="62"/>
      <c r="P10" s="62"/>
      <c r="Q10" s="62"/>
      <c r="R10" s="62"/>
      <c r="S10" s="62"/>
      <c r="T10" s="62"/>
    </row>
    <row r="11" spans="1:20" x14ac:dyDescent="0.2">
      <c r="A11" s="97" t="s">
        <v>54</v>
      </c>
      <c r="B11" s="74"/>
      <c r="C11" s="74"/>
      <c r="D11" s="165">
        <f>DATABANK!C57</f>
        <v>3934</v>
      </c>
      <c r="E11" s="86" t="s">
        <v>33</v>
      </c>
      <c r="F11" s="194">
        <f>ROUND(B10*E$8/100*D11,2)</f>
        <v>0</v>
      </c>
      <c r="G11" s="194">
        <f t="shared" ref="G11:G39" si="0">ROUND(F11/12,2)</f>
        <v>0</v>
      </c>
      <c r="H11" s="210"/>
      <c r="I11" s="117"/>
      <c r="M11" s="66"/>
      <c r="N11" s="66"/>
      <c r="O11" s="62"/>
      <c r="P11" s="62"/>
      <c r="Q11" s="62"/>
      <c r="R11" s="62"/>
      <c r="S11" s="62"/>
      <c r="T11" s="62"/>
    </row>
    <row r="12" spans="1:20" x14ac:dyDescent="0.2">
      <c r="A12" s="98" t="s">
        <v>130</v>
      </c>
      <c r="B12" s="67"/>
      <c r="C12" s="67"/>
      <c r="D12" s="189">
        <f>(DATABANK!B33-DATABANK!B30)</f>
        <v>13810</v>
      </c>
      <c r="E12" s="87" t="s">
        <v>33</v>
      </c>
      <c r="F12" s="217">
        <f>ROUND(B10*E$8/100*D12,2)</f>
        <v>0</v>
      </c>
      <c r="G12" s="217">
        <f t="shared" si="0"/>
        <v>0</v>
      </c>
      <c r="H12" s="210"/>
      <c r="I12" s="117"/>
      <c r="M12" s="66"/>
      <c r="N12" s="66"/>
      <c r="O12" s="62"/>
      <c r="P12" s="62"/>
      <c r="Q12" s="62"/>
      <c r="R12" s="62"/>
      <c r="S12" s="62"/>
      <c r="T12" s="62"/>
    </row>
    <row r="13" spans="1:20" x14ac:dyDescent="0.2">
      <c r="A13" s="167" t="s">
        <v>131</v>
      </c>
      <c r="B13" s="67"/>
      <c r="C13" s="67"/>
      <c r="D13" s="189">
        <f>(DATABANK!B34-DATABANK!B33)</f>
        <v>4758</v>
      </c>
      <c r="E13" s="87" t="s">
        <v>33</v>
      </c>
      <c r="F13" s="217">
        <f>ROUND(B10*E$8/100*D13,2)</f>
        <v>0</v>
      </c>
      <c r="G13" s="217">
        <f t="shared" si="0"/>
        <v>0</v>
      </c>
      <c r="H13" s="210"/>
      <c r="I13" s="117"/>
      <c r="M13" s="66"/>
      <c r="N13" s="66"/>
      <c r="O13" s="62"/>
      <c r="P13" s="62"/>
      <c r="Q13" s="62"/>
      <c r="R13" s="62"/>
      <c r="S13" s="62"/>
      <c r="T13" s="62"/>
    </row>
    <row r="14" spans="1:20" ht="16.5" thickBot="1" x14ac:dyDescent="0.3">
      <c r="A14" s="99" t="s">
        <v>129</v>
      </c>
      <c r="B14" s="88"/>
      <c r="C14" s="88"/>
      <c r="D14" s="198">
        <f>(DATABANK!B36-DATABANK!B34)</f>
        <v>9730</v>
      </c>
      <c r="E14" s="89" t="s">
        <v>33</v>
      </c>
      <c r="F14" s="217">
        <f>ROUND(B10*E$8/100*D14,2)</f>
        <v>0</v>
      </c>
      <c r="G14" s="217">
        <f t="shared" si="0"/>
        <v>0</v>
      </c>
      <c r="H14" s="210"/>
      <c r="I14" s="117"/>
      <c r="M14" s="66"/>
      <c r="N14" s="66"/>
    </row>
    <row r="15" spans="1:20" ht="15.75" thickBot="1" x14ac:dyDescent="0.25">
      <c r="A15" s="132" t="s">
        <v>56</v>
      </c>
      <c r="B15" s="73"/>
      <c r="C15" s="84" t="s">
        <v>8</v>
      </c>
      <c r="D15" s="164">
        <f>(DATABANK!B34-DATABANK!B30)</f>
        <v>18568</v>
      </c>
      <c r="E15" s="85" t="s">
        <v>33</v>
      </c>
      <c r="F15" s="196">
        <f>ROUND(B15*E$8/100*D15,2)</f>
        <v>0</v>
      </c>
      <c r="G15" s="196">
        <f t="shared" si="0"/>
        <v>0</v>
      </c>
      <c r="H15" s="211"/>
      <c r="I15" s="117"/>
      <c r="M15" s="66"/>
      <c r="N15" s="66"/>
      <c r="O15" s="62"/>
      <c r="P15" s="62"/>
      <c r="Q15" s="62"/>
      <c r="R15" s="62"/>
      <c r="S15" s="62"/>
      <c r="T15" s="62"/>
    </row>
    <row r="16" spans="1:20" x14ac:dyDescent="0.2">
      <c r="A16" s="97" t="s">
        <v>177</v>
      </c>
      <c r="B16" s="74"/>
      <c r="C16" s="74"/>
      <c r="D16" s="165">
        <f>DATABANK!C57</f>
        <v>3934</v>
      </c>
      <c r="E16" s="86" t="s">
        <v>33</v>
      </c>
      <c r="F16" s="194">
        <f>ROUND(B15*E$8/100*D16,2)</f>
        <v>0</v>
      </c>
      <c r="G16" s="194">
        <f t="shared" si="0"/>
        <v>0</v>
      </c>
      <c r="H16" s="210"/>
      <c r="I16" s="117"/>
      <c r="M16" s="66"/>
      <c r="N16" s="66"/>
      <c r="O16" s="62"/>
      <c r="P16" s="62"/>
      <c r="Q16" s="62"/>
      <c r="R16" s="62"/>
      <c r="S16" s="62"/>
      <c r="T16" s="62"/>
    </row>
    <row r="17" spans="1:22" x14ac:dyDescent="0.2">
      <c r="A17" s="98" t="s">
        <v>171</v>
      </c>
      <c r="B17" s="67"/>
      <c r="C17" s="67"/>
      <c r="D17" s="189">
        <f>(DATABANK!B37-DATABANK!B34)</f>
        <v>14710</v>
      </c>
      <c r="E17" s="87" t="s">
        <v>33</v>
      </c>
      <c r="F17" s="217">
        <f>ROUND(B15*E$8/100*D17,2)</f>
        <v>0</v>
      </c>
      <c r="G17" s="217">
        <f t="shared" si="0"/>
        <v>0</v>
      </c>
      <c r="H17" s="210"/>
      <c r="I17" s="117"/>
      <c r="M17" s="66"/>
      <c r="N17" s="66"/>
      <c r="O17" s="62"/>
      <c r="P17" s="62"/>
      <c r="Q17" s="62"/>
      <c r="R17" s="62"/>
      <c r="S17" s="62"/>
      <c r="T17" s="62"/>
    </row>
    <row r="18" spans="1:22" ht="15.75" thickBot="1" x14ac:dyDescent="0.25">
      <c r="A18" s="99" t="s">
        <v>172</v>
      </c>
      <c r="B18" s="90"/>
      <c r="C18" s="90"/>
      <c r="D18" s="198">
        <f>(DATABANK!B38-DATABANK!B37)</f>
        <v>5381</v>
      </c>
      <c r="E18" s="89" t="s">
        <v>33</v>
      </c>
      <c r="F18" s="217">
        <f>ROUND(B15*E$8/100*D18,2)</f>
        <v>0</v>
      </c>
      <c r="G18" s="217">
        <f t="shared" si="0"/>
        <v>0</v>
      </c>
      <c r="H18" s="210"/>
      <c r="I18" s="117"/>
      <c r="M18" s="66"/>
      <c r="N18" s="66"/>
      <c r="O18" s="62"/>
      <c r="P18" s="62"/>
      <c r="Q18" s="62"/>
      <c r="R18" s="62"/>
      <c r="S18" s="62"/>
      <c r="T18" s="62"/>
    </row>
    <row r="19" spans="1:22" ht="15.75" thickBot="1" x14ac:dyDescent="0.25">
      <c r="A19" s="132" t="s">
        <v>57</v>
      </c>
      <c r="B19" s="73"/>
      <c r="C19" s="84" t="s">
        <v>8</v>
      </c>
      <c r="D19" s="164">
        <f>(DATABANK!B$39-DATABANK!B$30)</f>
        <v>43898</v>
      </c>
      <c r="E19" s="85" t="s">
        <v>33</v>
      </c>
      <c r="F19" s="196">
        <f>ROUND(B19*E$8/100*D19,2)</f>
        <v>0</v>
      </c>
      <c r="G19" s="196">
        <f t="shared" si="0"/>
        <v>0</v>
      </c>
      <c r="H19" s="211"/>
      <c r="I19" s="117"/>
      <c r="M19" s="66"/>
      <c r="N19" s="66"/>
      <c r="O19" s="62"/>
      <c r="P19" s="62"/>
      <c r="Q19" s="62"/>
      <c r="R19" s="62"/>
      <c r="S19" s="62"/>
      <c r="T19" s="62"/>
    </row>
    <row r="20" spans="1:22" x14ac:dyDescent="0.2">
      <c r="A20" s="97" t="s">
        <v>54</v>
      </c>
      <c r="B20" s="74"/>
      <c r="C20" s="74"/>
      <c r="D20" s="165">
        <v>0</v>
      </c>
      <c r="E20" s="86" t="s">
        <v>33</v>
      </c>
      <c r="F20" s="194">
        <f>ROUND(B19*E$8/100*D20,2)</f>
        <v>0</v>
      </c>
      <c r="G20" s="194">
        <f t="shared" si="0"/>
        <v>0</v>
      </c>
      <c r="H20" s="210"/>
      <c r="I20" s="117"/>
      <c r="M20" s="66"/>
      <c r="N20" s="66"/>
      <c r="O20" s="62"/>
      <c r="P20" s="62"/>
      <c r="Q20" s="62"/>
      <c r="R20" s="62"/>
      <c r="S20" s="62"/>
      <c r="T20" s="62"/>
    </row>
    <row r="21" spans="1:22" x14ac:dyDescent="0.2">
      <c r="A21" s="98" t="s">
        <v>130</v>
      </c>
      <c r="B21" s="67"/>
      <c r="C21" s="67"/>
      <c r="D21" s="189">
        <f>(DATABANK!B42-DATABANK!B39)</f>
        <v>16197</v>
      </c>
      <c r="E21" s="87" t="s">
        <v>33</v>
      </c>
      <c r="F21" s="217">
        <f>ROUND(B19*E$8/100*D21,2)</f>
        <v>0</v>
      </c>
      <c r="G21" s="217">
        <f t="shared" si="0"/>
        <v>0</v>
      </c>
      <c r="H21" s="210"/>
      <c r="I21" s="117"/>
      <c r="M21" s="66"/>
      <c r="N21" s="66"/>
      <c r="O21" s="62"/>
      <c r="P21" s="62"/>
      <c r="Q21" s="62"/>
      <c r="R21" s="62"/>
      <c r="S21" s="62"/>
      <c r="T21" s="62"/>
    </row>
    <row r="22" spans="1:22" ht="15.75" thickBot="1" x14ac:dyDescent="0.25">
      <c r="A22" s="98" t="s">
        <v>131</v>
      </c>
      <c r="B22" s="90"/>
      <c r="C22" s="90"/>
      <c r="D22" s="198">
        <f>(DATABANK!B43-DATABANK!B42)</f>
        <v>8435</v>
      </c>
      <c r="E22" s="89" t="s">
        <v>33</v>
      </c>
      <c r="F22" s="217">
        <f>ROUND(B19*E$8/100*D22,2)</f>
        <v>0</v>
      </c>
      <c r="G22" s="217">
        <f t="shared" si="0"/>
        <v>0</v>
      </c>
      <c r="H22" s="210"/>
      <c r="I22" s="117"/>
      <c r="M22" s="66"/>
      <c r="N22" s="66"/>
    </row>
    <row r="23" spans="1:22" ht="15.75" thickBot="1" x14ac:dyDescent="0.25">
      <c r="A23" s="132" t="s">
        <v>60</v>
      </c>
      <c r="B23" s="73"/>
      <c r="C23" s="84" t="s">
        <v>8</v>
      </c>
      <c r="D23" s="164">
        <f>D19</f>
        <v>43898</v>
      </c>
      <c r="E23" s="85" t="s">
        <v>33</v>
      </c>
      <c r="F23" s="196">
        <f>ROUND(B23*E$8/100*D23,2)</f>
        <v>0</v>
      </c>
      <c r="G23" s="196">
        <f t="shared" si="0"/>
        <v>0</v>
      </c>
      <c r="H23" s="211"/>
      <c r="I23" s="117"/>
      <c r="M23" s="66"/>
      <c r="N23" s="66"/>
      <c r="O23" s="62"/>
      <c r="P23" s="62"/>
      <c r="Q23" s="62"/>
      <c r="R23" s="62"/>
      <c r="S23" s="62"/>
      <c r="T23" s="62"/>
    </row>
    <row r="24" spans="1:22" x14ac:dyDescent="0.2">
      <c r="A24" s="97" t="s">
        <v>177</v>
      </c>
      <c r="B24" s="74" t="s">
        <v>176</v>
      </c>
      <c r="C24" s="74"/>
      <c r="D24" s="165">
        <f>DATABANK!C60</f>
        <v>13113.33</v>
      </c>
      <c r="E24" s="86" t="s">
        <v>33</v>
      </c>
      <c r="F24" s="194">
        <f>ROUND(B23*E$8/100*D24,2)</f>
        <v>0</v>
      </c>
      <c r="G24" s="194">
        <f t="shared" si="0"/>
        <v>0</v>
      </c>
      <c r="H24" s="210"/>
      <c r="I24" s="117"/>
      <c r="M24" s="66"/>
      <c r="N24" s="66"/>
    </row>
    <row r="25" spans="1:22" x14ac:dyDescent="0.2">
      <c r="A25" s="98" t="s">
        <v>130</v>
      </c>
      <c r="B25" s="67"/>
      <c r="C25" s="67"/>
      <c r="D25" s="189">
        <f>D21</f>
        <v>16197</v>
      </c>
      <c r="E25" s="87" t="s">
        <v>33</v>
      </c>
      <c r="F25" s="217">
        <f>ROUND(B23*E$8/100*D25,2)</f>
        <v>0</v>
      </c>
      <c r="G25" s="217">
        <f t="shared" si="0"/>
        <v>0</v>
      </c>
      <c r="H25" s="210"/>
      <c r="I25" s="117"/>
      <c r="M25" s="66"/>
      <c r="N25" s="66"/>
    </row>
    <row r="26" spans="1:22" ht="15.75" thickBot="1" x14ac:dyDescent="0.25">
      <c r="A26" s="99" t="s">
        <v>131</v>
      </c>
      <c r="B26" s="90"/>
      <c r="C26" s="90"/>
      <c r="D26" s="198">
        <f>D22</f>
        <v>8435</v>
      </c>
      <c r="E26" s="89" t="s">
        <v>33</v>
      </c>
      <c r="F26" s="217">
        <f>ROUND(B23*E$8/100*D26,2)</f>
        <v>0</v>
      </c>
      <c r="G26" s="217">
        <f t="shared" si="0"/>
        <v>0</v>
      </c>
      <c r="H26" s="210"/>
      <c r="I26" s="117"/>
      <c r="M26" s="66"/>
      <c r="N26" s="66"/>
    </row>
    <row r="27" spans="1:22" x14ac:dyDescent="0.2">
      <c r="A27" s="68" t="s">
        <v>143</v>
      </c>
      <c r="B27" s="162"/>
      <c r="C27" s="162"/>
      <c r="D27" s="163">
        <f>DATABANK!C97</f>
        <v>37110.720000000001</v>
      </c>
      <c r="E27" s="72" t="s">
        <v>33</v>
      </c>
      <c r="F27" s="196">
        <f>B4*B$8/37*D27</f>
        <v>0</v>
      </c>
      <c r="G27" s="196">
        <f t="shared" si="0"/>
        <v>0</v>
      </c>
      <c r="H27" s="211"/>
      <c r="I27" s="117"/>
      <c r="M27" s="66"/>
      <c r="N27" s="66"/>
    </row>
    <row r="28" spans="1:22" x14ac:dyDescent="0.2">
      <c r="A28" s="68" t="s">
        <v>84</v>
      </c>
      <c r="B28" s="162"/>
      <c r="C28" s="162"/>
      <c r="D28" s="163">
        <f>DATABANK!C100</f>
        <v>24390.79</v>
      </c>
      <c r="E28" s="72" t="s">
        <v>33</v>
      </c>
      <c r="F28" s="196">
        <f>(B2+B3)*B$8/37*D28</f>
        <v>0</v>
      </c>
      <c r="G28" s="196">
        <f t="shared" si="0"/>
        <v>0</v>
      </c>
      <c r="H28" s="211"/>
      <c r="I28" s="117"/>
      <c r="M28" s="66"/>
      <c r="N28" s="66"/>
    </row>
    <row r="29" spans="1:22" x14ac:dyDescent="0.2">
      <c r="A29" s="185" t="s">
        <v>141</v>
      </c>
      <c r="B29" s="162"/>
      <c r="C29" s="162"/>
      <c r="D29" s="165">
        <f>DATABANK!C105</f>
        <v>3671.73</v>
      </c>
      <c r="E29" s="86" t="s">
        <v>33</v>
      </c>
      <c r="F29" s="196">
        <f>B8/37*D29</f>
        <v>3671.73</v>
      </c>
      <c r="G29" s="196">
        <f t="shared" ref="G29" si="1">ROUND(F29/12,2)</f>
        <v>305.98</v>
      </c>
      <c r="H29" s="210"/>
      <c r="I29" s="101"/>
      <c r="J29" s="66"/>
      <c r="K29" s="66"/>
      <c r="L29" s="66"/>
      <c r="M29" s="66"/>
      <c r="N29" s="66"/>
      <c r="O29" s="66"/>
      <c r="V29" s="63"/>
    </row>
    <row r="30" spans="1:22" x14ac:dyDescent="0.2">
      <c r="A30" s="167" t="s">
        <v>117</v>
      </c>
      <c r="B30" s="162"/>
      <c r="C30" s="162"/>
      <c r="D30" s="168">
        <f>DATABANK!C$78</f>
        <v>2098.13</v>
      </c>
      <c r="E30" s="174" t="s">
        <v>59</v>
      </c>
      <c r="F30" s="217">
        <f>D30</f>
        <v>2098.13</v>
      </c>
      <c r="G30" s="217">
        <f t="shared" si="0"/>
        <v>174.84</v>
      </c>
      <c r="H30" s="210"/>
      <c r="I30" s="117"/>
      <c r="M30" s="66"/>
      <c r="N30" s="66"/>
      <c r="O30" s="66"/>
      <c r="V30" s="63"/>
    </row>
    <row r="31" spans="1:22" x14ac:dyDescent="0.2">
      <c r="A31" s="167" t="s">
        <v>132</v>
      </c>
      <c r="B31" s="162"/>
      <c r="C31" s="162"/>
      <c r="D31" s="168">
        <f>DATABANK!C79</f>
        <v>393.4</v>
      </c>
      <c r="E31" s="174" t="s">
        <v>59</v>
      </c>
      <c r="F31" s="217">
        <f>D31*B2</f>
        <v>0</v>
      </c>
      <c r="G31" s="217">
        <f t="shared" ref="G31" si="2">ROUND(F31/12,2)</f>
        <v>0</v>
      </c>
      <c r="H31" s="210"/>
      <c r="I31" s="117"/>
      <c r="M31" s="66"/>
      <c r="N31" s="66"/>
      <c r="O31" s="66"/>
      <c r="V31" s="63"/>
    </row>
    <row r="32" spans="1:22" ht="15.75" thickBot="1" x14ac:dyDescent="0.25">
      <c r="A32" s="175" t="s">
        <v>94</v>
      </c>
      <c r="B32" s="176"/>
      <c r="C32" s="177"/>
      <c r="D32" s="178">
        <f>IF(B6=1,DATABANK!C91,DATABANK!C93)</f>
        <v>3212.77</v>
      </c>
      <c r="E32" s="174" t="s">
        <v>34</v>
      </c>
      <c r="F32" s="218">
        <f>D32</f>
        <v>3212.77</v>
      </c>
      <c r="G32" s="218">
        <f t="shared" si="0"/>
        <v>267.73</v>
      </c>
      <c r="H32" s="211"/>
      <c r="I32" s="117"/>
      <c r="M32" s="66"/>
      <c r="N32" s="66"/>
      <c r="O32" s="66"/>
      <c r="V32" s="63"/>
    </row>
    <row r="33" spans="1:22" ht="15.75" thickBot="1" x14ac:dyDescent="0.25">
      <c r="A33" s="175" t="s">
        <v>118</v>
      </c>
      <c r="B33" s="179"/>
      <c r="C33" s="169" t="s">
        <v>8</v>
      </c>
      <c r="D33" s="178">
        <f>DATABANK!C$95</f>
        <v>9441.6</v>
      </c>
      <c r="E33" s="174" t="s">
        <v>34</v>
      </c>
      <c r="F33" s="218">
        <f>D33*B33</f>
        <v>0</v>
      </c>
      <c r="G33" s="218">
        <f t="shared" si="0"/>
        <v>0</v>
      </c>
      <c r="H33" s="211"/>
      <c r="I33" s="117"/>
      <c r="M33" s="66"/>
      <c r="N33" s="66"/>
      <c r="O33" s="66"/>
      <c r="V33" s="63"/>
    </row>
    <row r="34" spans="1:22" ht="15.75" thickBot="1" x14ac:dyDescent="0.25">
      <c r="A34" s="175" t="s">
        <v>119</v>
      </c>
      <c r="B34" s="180"/>
      <c r="C34" s="169" t="s">
        <v>8</v>
      </c>
      <c r="D34" s="178">
        <f>DATABANK!C$81</f>
        <v>31471.99</v>
      </c>
      <c r="E34" s="174" t="s">
        <v>34</v>
      </c>
      <c r="F34" s="218">
        <f>D34*B34</f>
        <v>0</v>
      </c>
      <c r="G34" s="218">
        <f t="shared" si="0"/>
        <v>0</v>
      </c>
      <c r="H34" s="211"/>
      <c r="I34" s="117"/>
      <c r="M34" s="66"/>
      <c r="N34" s="66"/>
      <c r="O34" s="66"/>
      <c r="V34" s="63"/>
    </row>
    <row r="35" spans="1:22" ht="15.75" thickBot="1" x14ac:dyDescent="0.25">
      <c r="A35" s="175" t="s">
        <v>120</v>
      </c>
      <c r="B35" s="180"/>
      <c r="C35" s="169" t="s">
        <v>8</v>
      </c>
      <c r="D35" s="178">
        <f>DATABANK!C$82</f>
        <v>22292.66</v>
      </c>
      <c r="E35" s="174" t="s">
        <v>34</v>
      </c>
      <c r="F35" s="218">
        <f>D35*B35</f>
        <v>0</v>
      </c>
      <c r="G35" s="218">
        <f t="shared" si="0"/>
        <v>0</v>
      </c>
      <c r="H35" s="211"/>
      <c r="I35" s="117"/>
      <c r="M35" s="66"/>
      <c r="N35" s="66"/>
      <c r="O35" s="66"/>
      <c r="V35" s="63"/>
    </row>
    <row r="36" spans="1:22" ht="15.75" thickBot="1" x14ac:dyDescent="0.25">
      <c r="A36" s="175" t="s">
        <v>83</v>
      </c>
      <c r="B36" s="181"/>
      <c r="C36" s="169" t="s">
        <v>8</v>
      </c>
      <c r="D36" s="178">
        <f>DATABANK!C$83</f>
        <v>13113.33</v>
      </c>
      <c r="E36" s="174" t="s">
        <v>34</v>
      </c>
      <c r="F36" s="218">
        <f t="shared" ref="F36:F41" si="3">B36*D36</f>
        <v>0</v>
      </c>
      <c r="G36" s="218">
        <f t="shared" si="0"/>
        <v>0</v>
      </c>
      <c r="H36" s="211"/>
      <c r="I36" s="117"/>
      <c r="M36" s="66"/>
      <c r="N36" s="66"/>
      <c r="O36" s="66"/>
      <c r="V36" s="63"/>
    </row>
    <row r="37" spans="1:22" ht="15.75" thickBot="1" x14ac:dyDescent="0.25">
      <c r="A37" s="175" t="s">
        <v>121</v>
      </c>
      <c r="B37" s="181"/>
      <c r="C37" s="177"/>
      <c r="D37" s="178">
        <f>DATABANK!C$84</f>
        <v>131.13</v>
      </c>
      <c r="E37" s="182" t="s">
        <v>125</v>
      </c>
      <c r="F37" s="218">
        <f t="shared" si="3"/>
        <v>0</v>
      </c>
      <c r="G37" s="218">
        <f t="shared" si="0"/>
        <v>0</v>
      </c>
      <c r="H37" s="211"/>
      <c r="I37" s="117"/>
      <c r="M37" s="66"/>
      <c r="N37" s="66"/>
      <c r="O37" s="66"/>
      <c r="V37" s="63"/>
    </row>
    <row r="38" spans="1:22" ht="15.75" thickBot="1" x14ac:dyDescent="0.25">
      <c r="A38" s="175" t="s">
        <v>123</v>
      </c>
      <c r="B38" s="179"/>
      <c r="C38" s="169" t="s">
        <v>8</v>
      </c>
      <c r="D38" s="178">
        <f>DATABANK!C$86</f>
        <v>3934</v>
      </c>
      <c r="E38" s="174" t="s">
        <v>34</v>
      </c>
      <c r="F38" s="218">
        <f t="shared" si="3"/>
        <v>0</v>
      </c>
      <c r="G38" s="218">
        <f t="shared" si="0"/>
        <v>0</v>
      </c>
      <c r="H38" s="211"/>
      <c r="I38" s="117"/>
      <c r="M38" s="66"/>
      <c r="N38" s="66"/>
      <c r="O38" s="66"/>
      <c r="V38" s="63"/>
    </row>
    <row r="39" spans="1:22" ht="15.75" thickBot="1" x14ac:dyDescent="0.25">
      <c r="A39" s="175" t="s">
        <v>122</v>
      </c>
      <c r="B39" s="180"/>
      <c r="C39" s="169" t="s">
        <v>8</v>
      </c>
      <c r="D39" s="178">
        <f>DATABANK!C$87</f>
        <v>1311.33</v>
      </c>
      <c r="E39" s="174" t="s">
        <v>34</v>
      </c>
      <c r="F39" s="218">
        <f t="shared" si="3"/>
        <v>0</v>
      </c>
      <c r="G39" s="218">
        <f t="shared" si="0"/>
        <v>0</v>
      </c>
      <c r="H39" s="211"/>
      <c r="I39" s="117"/>
      <c r="M39" s="66"/>
      <c r="N39" s="66"/>
      <c r="O39" s="66"/>
      <c r="V39" s="63"/>
    </row>
    <row r="40" spans="1:22" ht="15.75" thickBot="1" x14ac:dyDescent="0.25">
      <c r="A40" s="175" t="s">
        <v>107</v>
      </c>
      <c r="B40" s="181"/>
      <c r="C40" s="177" t="s">
        <v>8</v>
      </c>
      <c r="D40" s="178">
        <f>DATABANK!C88</f>
        <v>3934</v>
      </c>
      <c r="E40" s="174" t="s">
        <v>34</v>
      </c>
      <c r="F40" s="218">
        <f t="shared" si="3"/>
        <v>0</v>
      </c>
      <c r="G40" s="218">
        <f>ROUND(F40/12,2)</f>
        <v>0</v>
      </c>
      <c r="H40" s="211"/>
      <c r="I40" s="117"/>
      <c r="M40" s="66"/>
      <c r="N40" s="66"/>
      <c r="O40" s="66"/>
      <c r="V40" s="63"/>
    </row>
    <row r="41" spans="1:22" ht="15.75" thickBot="1" x14ac:dyDescent="0.25">
      <c r="A41" s="175" t="s">
        <v>126</v>
      </c>
      <c r="B41" s="181"/>
      <c r="C41" s="177" t="s">
        <v>8</v>
      </c>
      <c r="D41" s="178">
        <f>DATABANK!C$89</f>
        <v>1967</v>
      </c>
      <c r="E41" s="174" t="s">
        <v>34</v>
      </c>
      <c r="F41" s="218">
        <f t="shared" si="3"/>
        <v>0</v>
      </c>
      <c r="G41" s="218">
        <f>ROUND(F41/12,2)</f>
        <v>0</v>
      </c>
      <c r="H41" s="211"/>
      <c r="I41" s="117"/>
      <c r="M41" s="66"/>
      <c r="N41" s="66"/>
      <c r="O41" s="66"/>
      <c r="V41" s="63"/>
    </row>
    <row r="42" spans="1:22" ht="15.75" thickBot="1" x14ac:dyDescent="0.25">
      <c r="A42" s="183" t="s">
        <v>127</v>
      </c>
      <c r="B42" s="343"/>
      <c r="C42" s="177"/>
      <c r="D42" s="178"/>
      <c r="E42" s="174"/>
      <c r="F42" s="219"/>
      <c r="G42" s="219"/>
      <c r="H42" s="211"/>
      <c r="I42" s="117" t="e">
        <f>ROUNDDOWN(A42,0)</f>
        <v>#VALUE!</v>
      </c>
      <c r="J42" s="117">
        <f>ROUNDDOWN(B42,0)</f>
        <v>0</v>
      </c>
      <c r="K42" s="118">
        <f>J42+(B42-J42)/60*100</f>
        <v>0</v>
      </c>
      <c r="V42" s="63"/>
    </row>
    <row r="43" spans="1:22" x14ac:dyDescent="0.2">
      <c r="A43" s="345" t="s">
        <v>202</v>
      </c>
      <c r="B43" s="342">
        <f>B5</f>
        <v>0</v>
      </c>
      <c r="C43" s="71"/>
      <c r="D43" s="178">
        <f>DATABANK!C69</f>
        <v>17047.330000000002</v>
      </c>
      <c r="E43" s="174" t="s">
        <v>34</v>
      </c>
      <c r="F43" s="218">
        <f>D43*B43</f>
        <v>0</v>
      </c>
      <c r="G43" s="218">
        <f t="shared" ref="G43:G44" si="4">ROUND(F43/12,2)</f>
        <v>0</v>
      </c>
      <c r="H43" s="211"/>
      <c r="I43" s="117"/>
      <c r="J43" s="117"/>
      <c r="K43" s="118"/>
      <c r="V43" s="63"/>
    </row>
    <row r="44" spans="1:22" x14ac:dyDescent="0.2">
      <c r="A44" s="345" t="s">
        <v>185</v>
      </c>
      <c r="B44" s="341">
        <f>ROUNDUP(2*MAX($K42-$E8/100*750,0),0)/2*B5</f>
        <v>0</v>
      </c>
      <c r="C44" s="71" t="s">
        <v>7</v>
      </c>
      <c r="D44" s="178">
        <f>IF(B49=1,0,DATABANK!C70*B5)</f>
        <v>0</v>
      </c>
      <c r="E44" s="174" t="s">
        <v>14</v>
      </c>
      <c r="F44" s="218">
        <f>ROUND(B44*D44,2)</f>
        <v>0</v>
      </c>
      <c r="G44" s="218">
        <f t="shared" si="4"/>
        <v>0</v>
      </c>
      <c r="H44" s="211"/>
      <c r="I44" s="117"/>
      <c r="J44" s="117"/>
      <c r="K44" s="118"/>
      <c r="V44" s="63"/>
    </row>
    <row r="45" spans="1:22" x14ac:dyDescent="0.2">
      <c r="A45" s="348" t="s">
        <v>199</v>
      </c>
      <c r="B45" s="319">
        <f>IF(B42&gt;=B$8/37*0,(1-B5)*(1-B46-B47),0)</f>
        <v>1</v>
      </c>
      <c r="C45" s="169"/>
      <c r="D45" s="168">
        <f>B$8/37*DATABANK!C64</f>
        <v>17047.330000000002</v>
      </c>
      <c r="E45" s="174" t="s">
        <v>34</v>
      </c>
      <c r="F45" s="218">
        <f t="shared" ref="F45:F47" si="5">D45*B45</f>
        <v>17047.330000000002</v>
      </c>
      <c r="G45" s="218">
        <f t="shared" ref="G45:G53" si="6">ROUND(F45/12,2)</f>
        <v>1420.61</v>
      </c>
      <c r="H45" s="212"/>
      <c r="I45" s="117"/>
      <c r="V45" s="63"/>
    </row>
    <row r="46" spans="1:22" x14ac:dyDescent="0.2">
      <c r="A46" s="348" t="s">
        <v>200</v>
      </c>
      <c r="B46" s="319">
        <f>IF(B42&gt;(1-B5)*B$8/37*750.5,(1-B5)*(1-B47),0)</f>
        <v>0</v>
      </c>
      <c r="C46" s="169"/>
      <c r="D46" s="168">
        <f>B$8/37*DATABANK!C65</f>
        <v>20194.53</v>
      </c>
      <c r="E46" s="174" t="s">
        <v>34</v>
      </c>
      <c r="F46" s="218">
        <f t="shared" si="5"/>
        <v>0</v>
      </c>
      <c r="G46" s="218">
        <f t="shared" si="6"/>
        <v>0</v>
      </c>
      <c r="H46" s="211"/>
      <c r="I46" s="117"/>
      <c r="V46" s="63"/>
    </row>
    <row r="47" spans="1:22" x14ac:dyDescent="0.2">
      <c r="A47" s="348" t="s">
        <v>201</v>
      </c>
      <c r="B47" s="319">
        <f>IF(B42&gt;B$8/37*775.4999,1*(1-B5),0)</f>
        <v>0</v>
      </c>
      <c r="C47" s="169"/>
      <c r="D47" s="168">
        <f>B$8/37*DATABANK!C66</f>
        <v>24128.53</v>
      </c>
      <c r="E47" s="174" t="s">
        <v>34</v>
      </c>
      <c r="F47" s="218">
        <f t="shared" si="5"/>
        <v>0</v>
      </c>
      <c r="G47" s="218">
        <f t="shared" si="6"/>
        <v>0</v>
      </c>
      <c r="H47" s="211"/>
      <c r="I47" s="117"/>
      <c r="V47" s="63"/>
    </row>
    <row r="48" spans="1:22" ht="15.75" thickBot="1" x14ac:dyDescent="0.25">
      <c r="A48" s="68" t="s">
        <v>135</v>
      </c>
      <c r="B48" s="319" t="str">
        <f>IF(B2+B3=1,B42,"0")</f>
        <v>0</v>
      </c>
      <c r="C48" s="71" t="s">
        <v>7</v>
      </c>
      <c r="D48" s="163">
        <f>DATABANK!C102</f>
        <v>24.81</v>
      </c>
      <c r="E48" s="70" t="s">
        <v>14</v>
      </c>
      <c r="F48" s="196">
        <f>ROUND(B48*D48,2)</f>
        <v>0</v>
      </c>
      <c r="G48" s="196">
        <f>ROUND(F48/12,2)</f>
        <v>0</v>
      </c>
      <c r="H48" s="211"/>
      <c r="I48" s="117"/>
    </row>
    <row r="49" spans="1:22" ht="15.75" thickBot="1" x14ac:dyDescent="0.25">
      <c r="A49" s="260" t="s">
        <v>48</v>
      </c>
      <c r="B49" s="81"/>
      <c r="C49" s="71" t="s">
        <v>7</v>
      </c>
      <c r="D49" s="163">
        <f>DATABANK!$C$101</f>
        <v>42.53</v>
      </c>
      <c r="E49" s="70" t="s">
        <v>14</v>
      </c>
      <c r="F49" s="197">
        <f>ROUND(B$6*B49*D49,2)</f>
        <v>0</v>
      </c>
      <c r="G49" s="197">
        <f t="shared" si="6"/>
        <v>0</v>
      </c>
      <c r="H49" s="211"/>
      <c r="I49" s="117"/>
      <c r="V49" s="63"/>
    </row>
    <row r="50" spans="1:22" ht="15.75" thickBot="1" x14ac:dyDescent="0.25">
      <c r="A50" s="260" t="s">
        <v>51</v>
      </c>
      <c r="B50" s="81"/>
      <c r="C50" s="71" t="s">
        <v>7</v>
      </c>
      <c r="D50" s="163">
        <f>DATABANK!$C$103</f>
        <v>19.670000000000002</v>
      </c>
      <c r="E50" s="70" t="s">
        <v>14</v>
      </c>
      <c r="F50" s="197">
        <f t="shared" ref="F50:F51" si="7">ROUND(B$6*B50*D50,2)</f>
        <v>0</v>
      </c>
      <c r="G50" s="197">
        <f t="shared" si="6"/>
        <v>0</v>
      </c>
      <c r="H50" s="211"/>
      <c r="I50" s="117"/>
      <c r="V50" s="63"/>
    </row>
    <row r="51" spans="1:22" ht="15.75" thickBot="1" x14ac:dyDescent="0.25">
      <c r="A51" s="68" t="s">
        <v>53</v>
      </c>
      <c r="B51" s="81"/>
      <c r="C51" s="71" t="s">
        <v>7</v>
      </c>
      <c r="D51" s="163">
        <f>DATABANK!$C$104</f>
        <v>33.880000000000003</v>
      </c>
      <c r="E51" s="70" t="s">
        <v>14</v>
      </c>
      <c r="F51" s="197">
        <f t="shared" si="7"/>
        <v>0</v>
      </c>
      <c r="G51" s="197">
        <f t="shared" si="6"/>
        <v>0</v>
      </c>
      <c r="H51" s="211"/>
      <c r="I51" s="117"/>
      <c r="V51" s="63"/>
    </row>
    <row r="52" spans="1:22" ht="15.75" thickBot="1" x14ac:dyDescent="0.25">
      <c r="A52" s="57" t="s">
        <v>61</v>
      </c>
      <c r="B52" s="82"/>
      <c r="C52" s="74" t="s">
        <v>8</v>
      </c>
      <c r="D52" s="163">
        <f>DATABANK!$C$110</f>
        <v>13113.33</v>
      </c>
      <c r="E52" s="70" t="s">
        <v>59</v>
      </c>
      <c r="F52" s="197">
        <f t="shared" ref="F52" si="8">ROUND(B52*D52,2)</f>
        <v>0</v>
      </c>
      <c r="G52" s="197">
        <f t="shared" si="6"/>
        <v>0</v>
      </c>
      <c r="H52" s="211"/>
      <c r="I52" s="117"/>
      <c r="V52" s="63"/>
    </row>
    <row r="53" spans="1:22" ht="16.5" thickBot="1" x14ac:dyDescent="0.3">
      <c r="A53" s="91" t="s">
        <v>4</v>
      </c>
      <c r="B53" s="92"/>
      <c r="C53" s="93"/>
      <c r="D53" s="94"/>
      <c r="E53" s="95"/>
      <c r="F53" s="158">
        <f>SUM(F9:F52)</f>
        <v>345457.96</v>
      </c>
      <c r="G53" s="158">
        <f t="shared" si="6"/>
        <v>28788.16</v>
      </c>
      <c r="H53" s="213">
        <f>SUM(H9:H52)</f>
        <v>0</v>
      </c>
      <c r="I53" s="117"/>
      <c r="V53" s="63"/>
    </row>
    <row r="54" spans="1:22" ht="16.5" thickBot="1" x14ac:dyDescent="0.3">
      <c r="A54" s="91" t="s">
        <v>72</v>
      </c>
      <c r="B54" s="104"/>
      <c r="C54" s="105"/>
      <c r="D54" s="106"/>
      <c r="E54" s="107"/>
      <c r="F54" s="159"/>
      <c r="G54" s="160">
        <f>H53-G53</f>
        <v>-28788.16</v>
      </c>
      <c r="H54" s="119"/>
      <c r="I54" s="117"/>
      <c r="V54" s="63"/>
    </row>
    <row r="55" spans="1:22" x14ac:dyDescent="0.2">
      <c r="A55" s="109" t="s">
        <v>73</v>
      </c>
      <c r="B55" s="52"/>
      <c r="C55" s="45"/>
      <c r="D55" s="46"/>
      <c r="E55" s="47"/>
      <c r="F55" s="161"/>
      <c r="G55" s="161"/>
      <c r="H55" s="15"/>
      <c r="I55" s="117"/>
      <c r="V55" s="63"/>
    </row>
    <row r="56" spans="1:22" x14ac:dyDescent="0.2">
      <c r="A56" s="438"/>
      <c r="B56" s="439"/>
      <c r="C56" s="439"/>
      <c r="D56" s="439"/>
      <c r="E56" s="439"/>
      <c r="F56" s="439"/>
      <c r="G56" s="439"/>
      <c r="H56" s="440"/>
      <c r="I56" s="28"/>
      <c r="K56" s="62"/>
      <c r="L56" s="65"/>
      <c r="V56" s="63"/>
    </row>
    <row r="57" spans="1:22" x14ac:dyDescent="0.2">
      <c r="A57" s="441"/>
      <c r="B57" s="442"/>
      <c r="C57" s="442"/>
      <c r="D57" s="442"/>
      <c r="E57" s="442"/>
      <c r="F57" s="442"/>
      <c r="G57" s="442"/>
      <c r="H57" s="443"/>
      <c r="I57" s="28"/>
      <c r="K57" s="62"/>
      <c r="L57" s="65"/>
      <c r="V57" s="63"/>
    </row>
    <row r="58" spans="1:22" x14ac:dyDescent="0.2">
      <c r="A58" s="441"/>
      <c r="B58" s="442"/>
      <c r="C58" s="442"/>
      <c r="D58" s="442"/>
      <c r="E58" s="442"/>
      <c r="F58" s="442"/>
      <c r="G58" s="442"/>
      <c r="H58" s="443"/>
      <c r="I58" s="28"/>
      <c r="K58" s="62"/>
      <c r="L58" s="65"/>
      <c r="V58" s="63"/>
    </row>
    <row r="59" spans="1:22" x14ac:dyDescent="0.2">
      <c r="A59" s="441"/>
      <c r="B59" s="442"/>
      <c r="C59" s="442"/>
      <c r="D59" s="442"/>
      <c r="E59" s="442"/>
      <c r="F59" s="442"/>
      <c r="G59" s="442"/>
      <c r="H59" s="443"/>
      <c r="I59" s="28"/>
      <c r="K59" s="62"/>
      <c r="L59" s="65"/>
      <c r="V59" s="63"/>
    </row>
    <row r="60" spans="1:22" x14ac:dyDescent="0.2">
      <c r="A60" s="441"/>
      <c r="B60" s="442"/>
      <c r="C60" s="442"/>
      <c r="D60" s="442"/>
      <c r="E60" s="442"/>
      <c r="F60" s="442"/>
      <c r="G60" s="442"/>
      <c r="H60" s="443"/>
      <c r="I60" s="28"/>
      <c r="K60" s="62"/>
      <c r="L60" s="65"/>
      <c r="V60" s="63"/>
    </row>
    <row r="61" spans="1:22" x14ac:dyDescent="0.2">
      <c r="A61" s="444"/>
      <c r="B61" s="445"/>
      <c r="C61" s="445"/>
      <c r="D61" s="445"/>
      <c r="E61" s="445"/>
      <c r="F61" s="445"/>
      <c r="G61" s="445"/>
      <c r="H61" s="446"/>
      <c r="I61" s="28"/>
      <c r="K61" s="62"/>
      <c r="L61" s="65"/>
      <c r="V61" s="63"/>
    </row>
    <row r="62" spans="1:22" x14ac:dyDescent="0.2">
      <c r="A62" s="346" t="s">
        <v>186</v>
      </c>
      <c r="B62" s="347"/>
      <c r="C62" s="346"/>
    </row>
    <row r="63" spans="1:22" x14ac:dyDescent="0.2">
      <c r="A63" s="349" t="s">
        <v>187</v>
      </c>
      <c r="B63" s="350"/>
      <c r="C63" s="351"/>
    </row>
  </sheetData>
  <mergeCells count="4">
    <mergeCell ref="F1:G1"/>
    <mergeCell ref="F7:G7"/>
    <mergeCell ref="H7:H8"/>
    <mergeCell ref="A56:H61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6" orientation="portrait" horizontalDpi="4294967293" r:id="rId1"/>
  <headerFooter alignWithMargins="0"/>
  <ignoredErrors>
    <ignoredError sqref="E8" unlockedFormula="1"/>
    <ignoredError sqref="F31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44"/>
  <sheetViews>
    <sheetView zoomScaleNormal="100" workbookViewId="0">
      <selection sqref="A1:E1"/>
    </sheetView>
  </sheetViews>
  <sheetFormatPr defaultRowHeight="15" x14ac:dyDescent="0.2"/>
  <cols>
    <col min="1" max="1" width="18.109375" style="11" customWidth="1"/>
    <col min="2" max="2" width="6.88671875" style="5" customWidth="1"/>
    <col min="3" max="3" width="6" style="12" bestFit="1" customWidth="1"/>
    <col min="4" max="4" width="8.77734375" style="193" customWidth="1"/>
    <col min="5" max="5" width="13.88671875" style="13" customWidth="1"/>
    <col min="6" max="8" width="10.77734375" style="15" customWidth="1"/>
    <col min="9" max="9" width="8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2" s="255" customFormat="1" ht="16.5" thickBot="1" x14ac:dyDescent="0.3">
      <c r="A1" s="75" t="s">
        <v>15</v>
      </c>
      <c r="B1" s="150"/>
      <c r="C1" s="151"/>
      <c r="D1" s="187"/>
      <c r="E1" s="152"/>
      <c r="F1" s="184" t="s">
        <v>142</v>
      </c>
      <c r="G1" s="247"/>
      <c r="H1" s="251"/>
      <c r="I1" s="252"/>
      <c r="J1" s="253"/>
      <c r="K1" s="125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2" s="255" customFormat="1" ht="16.5" thickBot="1" x14ac:dyDescent="0.3">
      <c r="A2" s="166" t="s">
        <v>134</v>
      </c>
      <c r="B2" s="73"/>
      <c r="C2" s="256" t="s">
        <v>8</v>
      </c>
      <c r="D2" s="257"/>
      <c r="E2" s="258"/>
      <c r="F2" s="184" t="s">
        <v>170</v>
      </c>
      <c r="G2" s="247"/>
      <c r="H2" s="251"/>
      <c r="I2" s="252"/>
      <c r="J2" s="253"/>
      <c r="K2" s="125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2" s="255" customFormat="1" ht="16.5" thickBot="1" x14ac:dyDescent="0.3">
      <c r="A3" s="166" t="s">
        <v>133</v>
      </c>
      <c r="B3" s="73"/>
      <c r="C3" s="256" t="s">
        <v>8</v>
      </c>
      <c r="D3" s="257"/>
      <c r="E3" s="258"/>
      <c r="F3" s="184"/>
      <c r="G3" s="247"/>
      <c r="H3" s="251"/>
      <c r="I3" s="252"/>
      <c r="J3" s="253"/>
      <c r="K3" s="125"/>
      <c r="L3" s="254"/>
      <c r="M3" s="254"/>
      <c r="N3" s="254"/>
      <c r="O3" s="254"/>
      <c r="P3" s="254"/>
      <c r="Q3" s="254"/>
      <c r="R3" s="254"/>
      <c r="S3" s="254"/>
      <c r="T3" s="254"/>
      <c r="U3" s="254"/>
    </row>
    <row r="4" spans="1:22" s="255" customFormat="1" ht="16.5" thickBot="1" x14ac:dyDescent="0.3">
      <c r="A4" s="166" t="s">
        <v>128</v>
      </c>
      <c r="B4" s="73"/>
      <c r="C4" s="256" t="s">
        <v>8</v>
      </c>
      <c r="D4" s="257"/>
      <c r="E4" s="286" t="s">
        <v>169</v>
      </c>
      <c r="F4" s="247"/>
      <c r="G4" s="247"/>
      <c r="H4" s="251"/>
      <c r="I4" s="252"/>
      <c r="J4" s="253"/>
      <c r="K4" s="125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2" s="255" customFormat="1" ht="16.5" thickBot="1" x14ac:dyDescent="0.3">
      <c r="A5" s="166" t="s">
        <v>167</v>
      </c>
      <c r="B5" s="73"/>
      <c r="C5" s="256" t="s">
        <v>8</v>
      </c>
      <c r="D5" s="166" t="s">
        <v>168</v>
      </c>
      <c r="E5" s="258"/>
      <c r="F5" s="247"/>
      <c r="G5" s="247"/>
      <c r="H5" s="251"/>
      <c r="I5" s="302"/>
      <c r="J5" s="252"/>
      <c r="K5" s="252"/>
      <c r="L5" s="254"/>
      <c r="M5" s="254"/>
      <c r="N5" s="254"/>
      <c r="O5" s="254"/>
      <c r="P5" s="254"/>
      <c r="Q5" s="254"/>
      <c r="R5" s="254"/>
      <c r="S5" s="254"/>
      <c r="T5" s="254"/>
      <c r="U5" s="254"/>
    </row>
    <row r="6" spans="1:22" s="255" customFormat="1" ht="16.5" thickBot="1" x14ac:dyDescent="0.3">
      <c r="A6" s="259"/>
      <c r="B6" s="260" t="str">
        <f>IF(B2+B3+B4+B5&gt;1,"HOV - sæt kun 1 tal",".")</f>
        <v>.</v>
      </c>
      <c r="C6" s="258"/>
      <c r="D6" s="257"/>
      <c r="E6" s="258"/>
      <c r="F6" s="449" t="str">
        <f>DATABANK!B20</f>
        <v xml:space="preserve"> 1.10.2015 </v>
      </c>
      <c r="G6" s="449"/>
      <c r="H6" s="436" t="s">
        <v>71</v>
      </c>
      <c r="I6" s="451" t="s">
        <v>144</v>
      </c>
      <c r="J6" s="303"/>
      <c r="K6" s="252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2" s="255" customFormat="1" ht="15.75" thickBot="1" x14ac:dyDescent="0.25">
      <c r="A7" s="261" t="s">
        <v>19</v>
      </c>
      <c r="B7" s="126">
        <v>37</v>
      </c>
      <c r="C7" s="256"/>
      <c r="D7" s="188" t="s">
        <v>13</v>
      </c>
      <c r="E7" s="258"/>
      <c r="F7" s="83" t="s">
        <v>18</v>
      </c>
      <c r="G7" s="83" t="s">
        <v>17</v>
      </c>
      <c r="H7" s="437"/>
      <c r="I7" s="452"/>
      <c r="J7" s="303"/>
      <c r="K7" s="252"/>
      <c r="L7" s="254"/>
      <c r="M7" s="254"/>
      <c r="N7" s="254"/>
      <c r="O7" s="254"/>
      <c r="P7" s="254"/>
      <c r="Q7" s="254"/>
      <c r="R7" s="254"/>
      <c r="S7" s="254"/>
      <c r="T7" s="254"/>
      <c r="U7" s="254"/>
    </row>
    <row r="8" spans="1:22" s="255" customFormat="1" x14ac:dyDescent="0.2">
      <c r="A8" s="261" t="s">
        <v>9</v>
      </c>
      <c r="B8" s="80">
        <v>42</v>
      </c>
      <c r="C8" s="71"/>
      <c r="D8" s="163">
        <f>DATABANK!B42</f>
        <v>379523</v>
      </c>
      <c r="E8" s="72" t="s">
        <v>33</v>
      </c>
      <c r="F8" s="262">
        <f>ROUND(D8*B7/37,2)</f>
        <v>379523</v>
      </c>
      <c r="G8" s="262">
        <f>ROUND(F8/12,2)</f>
        <v>31626.92</v>
      </c>
      <c r="H8" s="263"/>
      <c r="I8" s="304"/>
      <c r="J8" s="303"/>
      <c r="K8" s="252"/>
      <c r="L8" s="264"/>
      <c r="M8" s="264"/>
      <c r="N8" s="264"/>
      <c r="O8" s="264"/>
      <c r="P8" s="254"/>
      <c r="Q8" s="254"/>
      <c r="R8" s="254"/>
      <c r="S8" s="254"/>
      <c r="T8" s="254"/>
      <c r="U8" s="254"/>
      <c r="V8" s="254"/>
    </row>
    <row r="9" spans="1:22" s="255" customFormat="1" x14ac:dyDescent="0.2">
      <c r="A9" s="261" t="s">
        <v>54</v>
      </c>
      <c r="B9" s="74"/>
      <c r="C9" s="74"/>
      <c r="D9" s="165">
        <f>DATABANK!C61</f>
        <v>17047.330000000002</v>
      </c>
      <c r="E9" s="86" t="s">
        <v>33</v>
      </c>
      <c r="F9" s="262">
        <f>ROUND(B7/37*D9,2)</f>
        <v>17047.330000000002</v>
      </c>
      <c r="G9" s="262">
        <f>ROUND(F9/12,2)</f>
        <v>1420.61</v>
      </c>
      <c r="H9" s="263"/>
      <c r="I9" s="304"/>
      <c r="J9" s="303"/>
      <c r="K9" s="252"/>
      <c r="L9" s="264"/>
      <c r="M9" s="264"/>
      <c r="N9" s="264"/>
      <c r="O9" s="264"/>
      <c r="P9" s="253"/>
      <c r="Q9" s="253"/>
      <c r="R9" s="253"/>
      <c r="S9" s="253"/>
      <c r="T9" s="253"/>
      <c r="U9" s="253"/>
      <c r="V9" s="254"/>
    </row>
    <row r="10" spans="1:22" s="255" customFormat="1" x14ac:dyDescent="0.2">
      <c r="A10" s="265" t="s">
        <v>171</v>
      </c>
      <c r="B10" s="67"/>
      <c r="C10" s="67"/>
      <c r="D10" s="189">
        <f>(DATABANK!B45-DATABANK!B42)</f>
        <v>26008</v>
      </c>
      <c r="E10" s="87" t="s">
        <v>33</v>
      </c>
      <c r="F10" s="266">
        <f>ROUND(B7/37*D10,2)</f>
        <v>26008</v>
      </c>
      <c r="G10" s="266">
        <f>ROUND(F10/12,2)</f>
        <v>2167.33</v>
      </c>
      <c r="H10" s="263"/>
      <c r="I10" s="304"/>
      <c r="J10" s="303"/>
      <c r="K10" s="252"/>
      <c r="L10" s="264"/>
      <c r="M10" s="264"/>
      <c r="N10" s="264"/>
      <c r="O10" s="264"/>
      <c r="P10" s="253"/>
      <c r="Q10" s="253"/>
      <c r="R10" s="253"/>
      <c r="S10" s="253"/>
      <c r="T10" s="253"/>
      <c r="U10" s="253"/>
      <c r="V10" s="254"/>
    </row>
    <row r="11" spans="1:22" s="255" customFormat="1" ht="15.75" thickBot="1" x14ac:dyDescent="0.25">
      <c r="A11" s="265" t="s">
        <v>172</v>
      </c>
      <c r="B11" s="300" t="str">
        <f>IF(B12+B13=1,".","Vælg:")</f>
        <v>Vælg:</v>
      </c>
      <c r="C11" s="67"/>
      <c r="D11" s="189">
        <f>(DATABANK!B46-DATABANK!B45)</f>
        <v>9151</v>
      </c>
      <c r="E11" s="87" t="s">
        <v>33</v>
      </c>
      <c r="F11" s="266">
        <f>ROUND(B7/37*D11,2)</f>
        <v>9151</v>
      </c>
      <c r="G11" s="266">
        <f>ROUND(F11/12,2)</f>
        <v>762.58</v>
      </c>
      <c r="H11" s="263"/>
      <c r="I11" s="304">
        <f>0.173*G11</f>
        <v>131.92634000000001</v>
      </c>
      <c r="J11" s="303"/>
      <c r="K11" s="252"/>
      <c r="L11" s="264"/>
      <c r="M11" s="264"/>
      <c r="N11" s="264"/>
      <c r="O11" s="264"/>
      <c r="P11" s="253"/>
      <c r="Q11" s="253"/>
      <c r="R11" s="253"/>
      <c r="S11" s="253"/>
      <c r="T11" s="253"/>
      <c r="U11" s="253"/>
      <c r="V11" s="254"/>
    </row>
    <row r="12" spans="1:22" s="255" customFormat="1" ht="15.75" thickBot="1" x14ac:dyDescent="0.25">
      <c r="A12" s="267" t="s">
        <v>174</v>
      </c>
      <c r="B12" s="179"/>
      <c r="C12" s="169" t="s">
        <v>8</v>
      </c>
      <c r="D12" s="165">
        <f>DATABANK!C105</f>
        <v>3671.73</v>
      </c>
      <c r="E12" s="86" t="s">
        <v>33</v>
      </c>
      <c r="F12" s="268">
        <f>B7/37*D12*B12</f>
        <v>0</v>
      </c>
      <c r="G12" s="268">
        <f t="shared" ref="G12" si="0">ROUND(F12/12,2)</f>
        <v>0</v>
      </c>
      <c r="H12" s="271"/>
      <c r="I12" s="304">
        <f t="shared" ref="I12:I30" si="1">0.173*G12</f>
        <v>0</v>
      </c>
      <c r="J12" s="305"/>
      <c r="K12" s="264"/>
      <c r="L12" s="264"/>
      <c r="M12" s="264"/>
      <c r="N12" s="264"/>
      <c r="O12" s="264"/>
      <c r="P12" s="254"/>
      <c r="Q12" s="254"/>
      <c r="R12" s="254"/>
      <c r="S12" s="254"/>
      <c r="T12" s="254"/>
      <c r="U12" s="254"/>
      <c r="V12" s="254"/>
    </row>
    <row r="13" spans="1:22" s="255" customFormat="1" ht="15.75" thickBot="1" x14ac:dyDescent="0.25">
      <c r="A13" s="267" t="s">
        <v>173</v>
      </c>
      <c r="B13" s="180"/>
      <c r="C13" s="169" t="s">
        <v>8</v>
      </c>
      <c r="D13" s="165">
        <f>DATABANK!C106</f>
        <v>4261.83</v>
      </c>
      <c r="E13" s="86" t="s">
        <v>33</v>
      </c>
      <c r="F13" s="268">
        <f>B7/37*D13*B13</f>
        <v>0</v>
      </c>
      <c r="G13" s="268">
        <f t="shared" ref="G13" si="2">ROUND(F13/12,2)</f>
        <v>0</v>
      </c>
      <c r="H13" s="271"/>
      <c r="I13" s="304">
        <f t="shared" ref="I13" si="3">0.173*G13</f>
        <v>0</v>
      </c>
      <c r="J13" s="305"/>
      <c r="K13" s="264"/>
      <c r="L13" s="264"/>
      <c r="M13" s="264"/>
      <c r="N13" s="264"/>
      <c r="O13" s="264"/>
      <c r="P13" s="254"/>
      <c r="Q13" s="254"/>
      <c r="R13" s="254"/>
      <c r="S13" s="254"/>
      <c r="T13" s="254"/>
      <c r="U13" s="254"/>
      <c r="V13" s="254"/>
    </row>
    <row r="14" spans="1:22" s="255" customFormat="1" x14ac:dyDescent="0.2">
      <c r="A14" s="256" t="s">
        <v>143</v>
      </c>
      <c r="B14" s="162"/>
      <c r="C14" s="162"/>
      <c r="D14" s="163">
        <f>DATABANK!C97</f>
        <v>37110.720000000001</v>
      </c>
      <c r="E14" s="72" t="s">
        <v>33</v>
      </c>
      <c r="F14" s="269">
        <f>B4*B$7/37*D14</f>
        <v>0</v>
      </c>
      <c r="G14" s="269">
        <f t="shared" ref="G14:G24" si="4">ROUND(F14/12,2)</f>
        <v>0</v>
      </c>
      <c r="H14" s="263"/>
      <c r="I14" s="306">
        <f t="shared" si="1"/>
        <v>0</v>
      </c>
      <c r="J14" s="252"/>
      <c r="K14" s="252"/>
      <c r="L14" s="264"/>
      <c r="M14" s="264"/>
      <c r="N14" s="264"/>
      <c r="O14" s="254"/>
      <c r="P14" s="254"/>
      <c r="Q14" s="254"/>
      <c r="R14" s="254"/>
      <c r="S14" s="254"/>
      <c r="T14" s="254"/>
      <c r="U14" s="254"/>
    </row>
    <row r="15" spans="1:22" s="255" customFormat="1" x14ac:dyDescent="0.2">
      <c r="A15" s="256" t="s">
        <v>84</v>
      </c>
      <c r="B15" s="162"/>
      <c r="C15" s="162"/>
      <c r="D15" s="163">
        <f>DATABANK!C100</f>
        <v>24390.79</v>
      </c>
      <c r="E15" s="72" t="s">
        <v>33</v>
      </c>
      <c r="F15" s="269">
        <f>(B2+B3)*B$7/37*D15</f>
        <v>0</v>
      </c>
      <c r="G15" s="269">
        <f t="shared" si="4"/>
        <v>0</v>
      </c>
      <c r="H15" s="263"/>
      <c r="I15" s="304">
        <f t="shared" si="1"/>
        <v>0</v>
      </c>
      <c r="J15" s="303"/>
      <c r="K15" s="252"/>
      <c r="L15" s="264"/>
      <c r="M15" s="264"/>
      <c r="N15" s="264"/>
      <c r="O15" s="254"/>
      <c r="P15" s="254"/>
      <c r="Q15" s="254"/>
      <c r="R15" s="254"/>
      <c r="S15" s="254"/>
      <c r="T15" s="254"/>
      <c r="U15" s="254"/>
    </row>
    <row r="16" spans="1:22" s="255" customFormat="1" x14ac:dyDescent="0.2">
      <c r="A16" s="270" t="s">
        <v>117</v>
      </c>
      <c r="B16" s="162"/>
      <c r="C16" s="162"/>
      <c r="D16" s="168">
        <f>DATABANK!C$78</f>
        <v>2098.13</v>
      </c>
      <c r="E16" s="174" t="s">
        <v>59</v>
      </c>
      <c r="F16" s="266">
        <f>D16</f>
        <v>2098.13</v>
      </c>
      <c r="G16" s="266">
        <f t="shared" si="4"/>
        <v>174.84</v>
      </c>
      <c r="H16" s="271"/>
      <c r="I16" s="304">
        <f t="shared" si="1"/>
        <v>30.247319999999998</v>
      </c>
      <c r="J16" s="303"/>
      <c r="K16" s="252"/>
      <c r="L16" s="264"/>
      <c r="M16" s="264"/>
      <c r="N16" s="264"/>
      <c r="O16" s="264"/>
      <c r="P16" s="254"/>
      <c r="Q16" s="254"/>
      <c r="R16" s="254"/>
      <c r="S16" s="254"/>
      <c r="T16" s="254"/>
      <c r="U16" s="254"/>
      <c r="V16" s="254"/>
    </row>
    <row r="17" spans="1:22" s="255" customFormat="1" x14ac:dyDescent="0.2">
      <c r="A17" s="270" t="s">
        <v>132</v>
      </c>
      <c r="B17" s="162"/>
      <c r="C17" s="162"/>
      <c r="D17" s="168">
        <f>DATABANK!C79</f>
        <v>393.4</v>
      </c>
      <c r="E17" s="174" t="s">
        <v>59</v>
      </c>
      <c r="F17" s="268">
        <f>D17*B2</f>
        <v>0</v>
      </c>
      <c r="G17" s="266">
        <f t="shared" si="4"/>
        <v>0</v>
      </c>
      <c r="H17" s="271"/>
      <c r="I17" s="304">
        <f t="shared" si="1"/>
        <v>0</v>
      </c>
      <c r="J17" s="303"/>
      <c r="K17" s="252"/>
      <c r="L17" s="264"/>
      <c r="M17" s="264"/>
      <c r="N17" s="264"/>
      <c r="O17" s="264"/>
      <c r="P17" s="254"/>
      <c r="Q17" s="254"/>
      <c r="R17" s="254"/>
      <c r="S17" s="254"/>
      <c r="T17" s="254"/>
      <c r="U17" s="254"/>
      <c r="V17" s="254"/>
    </row>
    <row r="18" spans="1:22" s="255" customFormat="1" ht="15.75" thickBot="1" x14ac:dyDescent="0.25">
      <c r="A18" s="272" t="s">
        <v>94</v>
      </c>
      <c r="B18" s="176"/>
      <c r="C18" s="177"/>
      <c r="D18" s="178">
        <f>IF(B5=1,DATABANK!C91,DATABANK!C93)</f>
        <v>3212.77</v>
      </c>
      <c r="E18" s="174" t="s">
        <v>34</v>
      </c>
      <c r="F18" s="268">
        <f>D18</f>
        <v>3212.77</v>
      </c>
      <c r="G18" s="268">
        <f t="shared" si="4"/>
        <v>267.73</v>
      </c>
      <c r="H18" s="263"/>
      <c r="I18" s="304">
        <f t="shared" si="1"/>
        <v>46.31729</v>
      </c>
      <c r="J18" s="303"/>
      <c r="K18" s="252"/>
      <c r="L18" s="264"/>
      <c r="M18" s="264"/>
      <c r="N18" s="264"/>
      <c r="O18" s="264"/>
      <c r="P18" s="254"/>
      <c r="Q18" s="254"/>
      <c r="R18" s="254"/>
      <c r="S18" s="254"/>
      <c r="T18" s="254"/>
      <c r="U18" s="254"/>
      <c r="V18" s="254"/>
    </row>
    <row r="19" spans="1:22" s="255" customFormat="1" ht="15.75" thickBot="1" x14ac:dyDescent="0.25">
      <c r="A19" s="272" t="s">
        <v>118</v>
      </c>
      <c r="B19" s="179"/>
      <c r="C19" s="169" t="s">
        <v>8</v>
      </c>
      <c r="D19" s="178">
        <f>DATABANK!C$95</f>
        <v>9441.6</v>
      </c>
      <c r="E19" s="174" t="s">
        <v>34</v>
      </c>
      <c r="F19" s="268">
        <f>D19*B19</f>
        <v>0</v>
      </c>
      <c r="G19" s="268">
        <f t="shared" si="4"/>
        <v>0</v>
      </c>
      <c r="H19" s="263"/>
      <c r="I19" s="304">
        <f t="shared" si="1"/>
        <v>0</v>
      </c>
      <c r="J19" s="303"/>
      <c r="K19" s="252"/>
      <c r="L19" s="264"/>
      <c r="M19" s="264"/>
      <c r="N19" s="264"/>
      <c r="O19" s="264"/>
      <c r="P19" s="254"/>
      <c r="Q19" s="254"/>
      <c r="R19" s="254"/>
      <c r="S19" s="254"/>
      <c r="T19" s="254"/>
      <c r="U19" s="254"/>
      <c r="V19" s="254"/>
    </row>
    <row r="20" spans="1:22" s="255" customFormat="1" ht="15.75" thickBot="1" x14ac:dyDescent="0.25">
      <c r="A20" s="272" t="s">
        <v>119</v>
      </c>
      <c r="B20" s="180"/>
      <c r="C20" s="169" t="s">
        <v>8</v>
      </c>
      <c r="D20" s="178">
        <f>DATABANK!C$81</f>
        <v>31471.99</v>
      </c>
      <c r="E20" s="174" t="s">
        <v>34</v>
      </c>
      <c r="F20" s="268">
        <f>D20*B20</f>
        <v>0</v>
      </c>
      <c r="G20" s="268">
        <f t="shared" si="4"/>
        <v>0</v>
      </c>
      <c r="H20" s="263"/>
      <c r="I20" s="304">
        <f t="shared" si="1"/>
        <v>0</v>
      </c>
      <c r="J20" s="303"/>
      <c r="K20" s="252"/>
      <c r="L20" s="264"/>
      <c r="M20" s="264"/>
      <c r="N20" s="264"/>
      <c r="O20" s="264"/>
      <c r="P20" s="254"/>
      <c r="Q20" s="254"/>
      <c r="R20" s="254"/>
      <c r="S20" s="254"/>
      <c r="T20" s="254"/>
      <c r="U20" s="254"/>
      <c r="V20" s="254"/>
    </row>
    <row r="21" spans="1:22" s="255" customFormat="1" ht="15.75" thickBot="1" x14ac:dyDescent="0.25">
      <c r="A21" s="272" t="s">
        <v>120</v>
      </c>
      <c r="B21" s="180"/>
      <c r="C21" s="169" t="s">
        <v>8</v>
      </c>
      <c r="D21" s="178">
        <f>DATABANK!C$82</f>
        <v>22292.66</v>
      </c>
      <c r="E21" s="174" t="s">
        <v>34</v>
      </c>
      <c r="F21" s="268">
        <f>D21*B21</f>
        <v>0</v>
      </c>
      <c r="G21" s="268">
        <f t="shared" si="4"/>
        <v>0</v>
      </c>
      <c r="H21" s="263"/>
      <c r="I21" s="306">
        <f t="shared" si="1"/>
        <v>0</v>
      </c>
      <c r="J21" s="252"/>
      <c r="K21" s="252"/>
      <c r="L21" s="264"/>
      <c r="M21" s="264"/>
      <c r="N21" s="264"/>
      <c r="O21" s="264"/>
      <c r="P21" s="254"/>
      <c r="Q21" s="254"/>
      <c r="R21" s="254"/>
      <c r="S21" s="254"/>
      <c r="T21" s="254"/>
      <c r="U21" s="254"/>
      <c r="V21" s="254"/>
    </row>
    <row r="22" spans="1:22" s="255" customFormat="1" ht="15.75" thickBot="1" x14ac:dyDescent="0.25">
      <c r="A22" s="272" t="s">
        <v>121</v>
      </c>
      <c r="B22" s="180"/>
      <c r="C22" s="177"/>
      <c r="D22" s="178">
        <f>DATABANK!C$85</f>
        <v>98.35</v>
      </c>
      <c r="E22" s="182" t="s">
        <v>125</v>
      </c>
      <c r="F22" s="268">
        <f t="shared" ref="F22:F26" si="5">B22*D22</f>
        <v>0</v>
      </c>
      <c r="G22" s="268">
        <f t="shared" si="4"/>
        <v>0</v>
      </c>
      <c r="H22" s="263"/>
      <c r="I22" s="306">
        <f t="shared" si="1"/>
        <v>0</v>
      </c>
      <c r="J22" s="252"/>
      <c r="K22" s="252"/>
      <c r="L22" s="264"/>
      <c r="M22" s="264"/>
      <c r="N22" s="264"/>
      <c r="O22" s="264"/>
      <c r="P22" s="254"/>
      <c r="Q22" s="254"/>
      <c r="R22" s="254"/>
      <c r="S22" s="254"/>
      <c r="T22" s="254"/>
      <c r="U22" s="254"/>
      <c r="V22" s="254"/>
    </row>
    <row r="23" spans="1:22" s="255" customFormat="1" ht="15.75" thickBot="1" x14ac:dyDescent="0.25">
      <c r="A23" s="272" t="s">
        <v>123</v>
      </c>
      <c r="B23" s="179"/>
      <c r="C23" s="169" t="s">
        <v>8</v>
      </c>
      <c r="D23" s="178">
        <f>DATABANK!C$86</f>
        <v>3934</v>
      </c>
      <c r="E23" s="174" t="s">
        <v>34</v>
      </c>
      <c r="F23" s="268">
        <f t="shared" si="5"/>
        <v>0</v>
      </c>
      <c r="G23" s="268">
        <f t="shared" si="4"/>
        <v>0</v>
      </c>
      <c r="H23" s="263"/>
      <c r="I23" s="304">
        <f t="shared" si="1"/>
        <v>0</v>
      </c>
      <c r="J23" s="303"/>
      <c r="K23" s="252"/>
      <c r="L23" s="264"/>
      <c r="M23" s="264"/>
      <c r="N23" s="264"/>
      <c r="O23" s="264"/>
      <c r="P23" s="254"/>
      <c r="Q23" s="254"/>
      <c r="R23" s="254"/>
      <c r="S23" s="254"/>
      <c r="T23" s="254"/>
      <c r="U23" s="254"/>
      <c r="V23" s="254"/>
    </row>
    <row r="24" spans="1:22" s="255" customFormat="1" ht="15.75" thickBot="1" x14ac:dyDescent="0.25">
      <c r="A24" s="272" t="s">
        <v>122</v>
      </c>
      <c r="B24" s="180"/>
      <c r="C24" s="169" t="s">
        <v>8</v>
      </c>
      <c r="D24" s="178">
        <f>DATABANK!C$87</f>
        <v>1311.33</v>
      </c>
      <c r="E24" s="174" t="s">
        <v>34</v>
      </c>
      <c r="F24" s="268">
        <f t="shared" si="5"/>
        <v>0</v>
      </c>
      <c r="G24" s="268">
        <f t="shared" si="4"/>
        <v>0</v>
      </c>
      <c r="H24" s="263"/>
      <c r="I24" s="304">
        <f t="shared" si="1"/>
        <v>0</v>
      </c>
      <c r="J24" s="303"/>
      <c r="K24" s="252"/>
      <c r="L24" s="264"/>
      <c r="M24" s="264"/>
      <c r="N24" s="264"/>
      <c r="O24" s="264"/>
      <c r="P24" s="254"/>
      <c r="Q24" s="254"/>
      <c r="R24" s="254"/>
      <c r="S24" s="254"/>
      <c r="T24" s="254"/>
      <c r="U24" s="254"/>
      <c r="V24" s="254"/>
    </row>
    <row r="25" spans="1:22" s="255" customFormat="1" ht="15.75" thickBot="1" x14ac:dyDescent="0.25">
      <c r="A25" s="272" t="s">
        <v>107</v>
      </c>
      <c r="B25" s="180"/>
      <c r="C25" s="177" t="s">
        <v>8</v>
      </c>
      <c r="D25" s="178">
        <f>DATABANK!C88</f>
        <v>3934</v>
      </c>
      <c r="E25" s="174" t="s">
        <v>34</v>
      </c>
      <c r="F25" s="268">
        <f t="shared" si="5"/>
        <v>0</v>
      </c>
      <c r="G25" s="268">
        <f>ROUND(F25/12,2)</f>
        <v>0</v>
      </c>
      <c r="H25" s="263"/>
      <c r="I25" s="306">
        <f t="shared" si="1"/>
        <v>0</v>
      </c>
      <c r="J25" s="252"/>
      <c r="K25" s="252"/>
      <c r="L25" s="264"/>
      <c r="M25" s="264"/>
      <c r="N25" s="264"/>
      <c r="O25" s="264"/>
      <c r="P25" s="254"/>
      <c r="Q25" s="254"/>
      <c r="R25" s="254"/>
      <c r="S25" s="254"/>
      <c r="T25" s="254"/>
      <c r="U25" s="254"/>
      <c r="V25" s="254"/>
    </row>
    <row r="26" spans="1:22" s="255" customFormat="1" ht="15.75" thickBot="1" x14ac:dyDescent="0.25">
      <c r="A26" s="272" t="s">
        <v>126</v>
      </c>
      <c r="B26" s="180"/>
      <c r="C26" s="177" t="s">
        <v>8</v>
      </c>
      <c r="D26" s="178">
        <f>DATABANK!C$89</f>
        <v>1967</v>
      </c>
      <c r="E26" s="174" t="s">
        <v>34</v>
      </c>
      <c r="F26" s="268">
        <f t="shared" si="5"/>
        <v>0</v>
      </c>
      <c r="G26" s="268">
        <f>ROUND(F26/12,2)</f>
        <v>0</v>
      </c>
      <c r="H26" s="263"/>
      <c r="I26" s="304">
        <f t="shared" si="1"/>
        <v>0</v>
      </c>
      <c r="J26" s="303"/>
      <c r="K26" s="252"/>
      <c r="L26" s="264"/>
      <c r="M26" s="264"/>
      <c r="N26" s="264"/>
      <c r="O26" s="264"/>
      <c r="P26" s="254"/>
      <c r="Q26" s="254"/>
      <c r="R26" s="254"/>
      <c r="S26" s="254"/>
      <c r="T26" s="254"/>
      <c r="U26" s="254"/>
      <c r="V26" s="254"/>
    </row>
    <row r="27" spans="1:22" s="255" customFormat="1" ht="15.75" thickBot="1" x14ac:dyDescent="0.25">
      <c r="A27" s="273" t="s">
        <v>127</v>
      </c>
      <c r="B27" s="180"/>
      <c r="C27" s="177"/>
      <c r="D27" s="178"/>
      <c r="E27" s="174"/>
      <c r="F27" s="219"/>
      <c r="G27" s="219"/>
      <c r="H27" s="263"/>
      <c r="I27" s="304">
        <f t="shared" si="1"/>
        <v>0</v>
      </c>
      <c r="J27" s="303"/>
      <c r="K27" s="252"/>
      <c r="L27" s="65"/>
      <c r="M27" s="254"/>
      <c r="N27" s="254"/>
      <c r="O27" s="254"/>
      <c r="P27" s="254"/>
      <c r="Q27" s="254"/>
      <c r="R27" s="254"/>
      <c r="S27" s="254"/>
      <c r="T27" s="254"/>
      <c r="U27" s="254"/>
      <c r="V27" s="254"/>
    </row>
    <row r="28" spans="1:22" s="255" customFormat="1" x14ac:dyDescent="0.2">
      <c r="A28" s="272" t="s">
        <v>196</v>
      </c>
      <c r="B28" s="246">
        <f>IF(B27&gt;=B$7/37*0,1-B29-B30,0)</f>
        <v>1</v>
      </c>
      <c r="C28" s="169"/>
      <c r="D28" s="168">
        <f>B$7/37*DATABANK!C73</f>
        <v>7212.33</v>
      </c>
      <c r="E28" s="174" t="s">
        <v>34</v>
      </c>
      <c r="F28" s="268">
        <f t="shared" ref="F28:F30" si="6">D28*B28</f>
        <v>7212.33</v>
      </c>
      <c r="G28" s="268">
        <f t="shared" ref="G28:G36" si="7">ROUND(F28/12,2)</f>
        <v>601.03</v>
      </c>
      <c r="H28" s="212"/>
      <c r="I28" s="304">
        <f t="shared" si="1"/>
        <v>103.97818999999998</v>
      </c>
      <c r="J28" s="303"/>
      <c r="K28" s="252"/>
      <c r="L28" s="65"/>
      <c r="M28" s="254"/>
      <c r="N28" s="254"/>
      <c r="O28" s="254"/>
      <c r="P28" s="254"/>
      <c r="Q28" s="254"/>
      <c r="R28" s="254"/>
      <c r="S28" s="254"/>
      <c r="T28" s="254"/>
      <c r="U28" s="254"/>
      <c r="V28" s="254"/>
    </row>
    <row r="29" spans="1:22" s="255" customFormat="1" x14ac:dyDescent="0.2">
      <c r="A29" s="272" t="s">
        <v>197</v>
      </c>
      <c r="B29" s="246">
        <f>IF(B27&gt;B$7/37*750.5,1-B30,0)</f>
        <v>0</v>
      </c>
      <c r="C29" s="169"/>
      <c r="D29" s="168">
        <f>B$7/37*DATABANK!C74</f>
        <v>10359.530000000001</v>
      </c>
      <c r="E29" s="174" t="s">
        <v>34</v>
      </c>
      <c r="F29" s="268">
        <f t="shared" si="6"/>
        <v>0</v>
      </c>
      <c r="G29" s="268">
        <f t="shared" si="7"/>
        <v>0</v>
      </c>
      <c r="H29" s="263"/>
      <c r="I29" s="306">
        <f t="shared" si="1"/>
        <v>0</v>
      </c>
      <c r="J29" s="252"/>
      <c r="K29" s="252"/>
      <c r="L29" s="65"/>
      <c r="M29" s="254"/>
      <c r="N29" s="254"/>
      <c r="O29" s="254"/>
      <c r="P29" s="254"/>
      <c r="Q29" s="254"/>
      <c r="R29" s="254"/>
      <c r="S29" s="254"/>
      <c r="T29" s="254"/>
      <c r="U29" s="254"/>
      <c r="V29" s="254"/>
    </row>
    <row r="30" spans="1:22" s="255" customFormat="1" ht="15.75" thickBot="1" x14ac:dyDescent="0.25">
      <c r="A30" s="272" t="s">
        <v>198</v>
      </c>
      <c r="B30" s="246">
        <f>IF(B27&gt;B$7/37*775.4999,1,0)</f>
        <v>0</v>
      </c>
      <c r="C30" s="169"/>
      <c r="D30" s="168">
        <f>B$7/37*DATABANK!C75</f>
        <v>14293.53</v>
      </c>
      <c r="E30" s="174" t="s">
        <v>34</v>
      </c>
      <c r="F30" s="268">
        <f t="shared" si="6"/>
        <v>0</v>
      </c>
      <c r="G30" s="268">
        <f t="shared" si="7"/>
        <v>0</v>
      </c>
      <c r="H30" s="263"/>
      <c r="I30" s="306">
        <f t="shared" si="1"/>
        <v>0</v>
      </c>
      <c r="J30" s="252"/>
      <c r="K30" s="252"/>
      <c r="L30" s="65"/>
      <c r="M30" s="254"/>
      <c r="N30" s="254"/>
      <c r="O30" s="254"/>
      <c r="P30" s="254"/>
      <c r="Q30" s="254"/>
      <c r="R30" s="254"/>
      <c r="S30" s="254"/>
      <c r="T30" s="254"/>
      <c r="U30" s="254"/>
      <c r="V30" s="254"/>
    </row>
    <row r="31" spans="1:22" s="255" customFormat="1" ht="15.75" thickBot="1" x14ac:dyDescent="0.25">
      <c r="A31" s="256" t="s">
        <v>135</v>
      </c>
      <c r="B31" s="301" t="str">
        <f>IF(B2+B3=1,B27,"0")</f>
        <v>0</v>
      </c>
      <c r="C31" s="71" t="s">
        <v>7</v>
      </c>
      <c r="D31" s="163">
        <f>DATABANK!C102</f>
        <v>24.81</v>
      </c>
      <c r="E31" s="70" t="s">
        <v>14</v>
      </c>
      <c r="F31" s="269">
        <f>ROUND(B31*D31,2)</f>
        <v>0</v>
      </c>
      <c r="G31" s="269">
        <f>ROUND(F31/12,2)</f>
        <v>0</v>
      </c>
      <c r="H31" s="263"/>
      <c r="I31" s="304">
        <f t="shared" ref="I31:I35" si="8">0.173*F31</f>
        <v>0</v>
      </c>
      <c r="J31" s="303"/>
      <c r="K31" s="252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  <row r="32" spans="1:22" s="255" customFormat="1" ht="15.75" thickBot="1" x14ac:dyDescent="0.25">
      <c r="A32" s="260" t="s">
        <v>48</v>
      </c>
      <c r="B32" s="250"/>
      <c r="C32" s="71" t="s">
        <v>7</v>
      </c>
      <c r="D32" s="163">
        <f>DATABANK!$C$101</f>
        <v>42.53</v>
      </c>
      <c r="E32" s="70" t="s">
        <v>14</v>
      </c>
      <c r="F32" s="274">
        <f>ROUND(B$5*B32*D32,2)</f>
        <v>0</v>
      </c>
      <c r="G32" s="274">
        <f t="shared" si="7"/>
        <v>0</v>
      </c>
      <c r="H32" s="263"/>
      <c r="I32" s="306">
        <f t="shared" si="8"/>
        <v>0</v>
      </c>
      <c r="J32" s="252"/>
      <c r="K32" s="252"/>
      <c r="L32" s="65"/>
      <c r="M32" s="254"/>
      <c r="N32" s="254"/>
      <c r="O32" s="254"/>
      <c r="P32" s="254"/>
      <c r="Q32" s="254"/>
      <c r="R32" s="254"/>
      <c r="S32" s="254"/>
      <c r="T32" s="254"/>
      <c r="U32" s="254"/>
      <c r="V32" s="254"/>
    </row>
    <row r="33" spans="1:22" s="255" customFormat="1" ht="15.75" thickBot="1" x14ac:dyDescent="0.25">
      <c r="A33" s="260" t="s">
        <v>51</v>
      </c>
      <c r="B33" s="250"/>
      <c r="C33" s="71" t="s">
        <v>7</v>
      </c>
      <c r="D33" s="163">
        <f>DATABANK!$C$103</f>
        <v>19.670000000000002</v>
      </c>
      <c r="E33" s="70" t="s">
        <v>14</v>
      </c>
      <c r="F33" s="274">
        <f t="shared" ref="F33:F34" si="9">ROUND(B$5*B33*D33,2)</f>
        <v>0</v>
      </c>
      <c r="G33" s="274">
        <f t="shared" si="7"/>
        <v>0</v>
      </c>
      <c r="H33" s="263"/>
      <c r="I33" s="304">
        <f t="shared" si="8"/>
        <v>0</v>
      </c>
      <c r="J33" s="303"/>
      <c r="K33" s="252"/>
      <c r="L33" s="65"/>
      <c r="M33" s="254"/>
      <c r="N33" s="254"/>
      <c r="O33" s="254"/>
      <c r="P33" s="254"/>
      <c r="Q33" s="254"/>
      <c r="R33" s="254"/>
      <c r="S33" s="254"/>
      <c r="T33" s="254"/>
      <c r="U33" s="254"/>
      <c r="V33" s="254"/>
    </row>
    <row r="34" spans="1:22" s="255" customFormat="1" ht="15.75" thickBot="1" x14ac:dyDescent="0.25">
      <c r="A34" s="256" t="s">
        <v>53</v>
      </c>
      <c r="B34" s="250"/>
      <c r="C34" s="71" t="s">
        <v>7</v>
      </c>
      <c r="D34" s="163">
        <f>DATABANK!$C$104</f>
        <v>33.880000000000003</v>
      </c>
      <c r="E34" s="70" t="s">
        <v>14</v>
      </c>
      <c r="F34" s="274">
        <f t="shared" si="9"/>
        <v>0</v>
      </c>
      <c r="G34" s="274">
        <f t="shared" si="7"/>
        <v>0</v>
      </c>
      <c r="H34" s="263"/>
      <c r="I34" s="306">
        <f t="shared" si="8"/>
        <v>0</v>
      </c>
      <c r="J34" s="252"/>
      <c r="K34" s="252"/>
      <c r="L34" s="65"/>
      <c r="M34" s="254"/>
      <c r="N34" s="254"/>
      <c r="O34" s="254"/>
      <c r="P34" s="254"/>
      <c r="Q34" s="254"/>
      <c r="R34" s="254"/>
      <c r="S34" s="254"/>
      <c r="T34" s="254"/>
      <c r="U34" s="254"/>
      <c r="V34" s="254"/>
    </row>
    <row r="35" spans="1:22" s="255" customFormat="1" ht="15.75" thickBot="1" x14ac:dyDescent="0.25">
      <c r="A35" s="261" t="s">
        <v>61</v>
      </c>
      <c r="B35" s="82"/>
      <c r="C35" s="74" t="s">
        <v>8</v>
      </c>
      <c r="D35" s="163">
        <f>DATABANK!$C$110</f>
        <v>13113.33</v>
      </c>
      <c r="E35" s="70" t="s">
        <v>59</v>
      </c>
      <c r="F35" s="274">
        <f t="shared" ref="F35" si="10">ROUND(B35*D35,2)</f>
        <v>0</v>
      </c>
      <c r="G35" s="274">
        <f t="shared" si="7"/>
        <v>0</v>
      </c>
      <c r="H35" s="263"/>
      <c r="I35" s="307">
        <f t="shared" si="8"/>
        <v>0</v>
      </c>
      <c r="J35" s="252"/>
      <c r="K35" s="252"/>
      <c r="L35" s="65"/>
      <c r="M35" s="254"/>
      <c r="N35" s="254"/>
      <c r="O35" s="254"/>
      <c r="P35" s="254"/>
      <c r="Q35" s="254"/>
      <c r="R35" s="254"/>
      <c r="S35" s="254"/>
      <c r="T35" s="254"/>
      <c r="U35" s="254"/>
      <c r="V35" s="254"/>
    </row>
    <row r="36" spans="1:22" s="255" customFormat="1" ht="16.5" thickBot="1" x14ac:dyDescent="0.3">
      <c r="A36" s="275" t="s">
        <v>4</v>
      </c>
      <c r="B36" s="92"/>
      <c r="C36" s="93"/>
      <c r="D36" s="190"/>
      <c r="E36" s="95"/>
      <c r="F36" s="276">
        <f>SUM(F8:F35)</f>
        <v>444252.56000000006</v>
      </c>
      <c r="G36" s="276">
        <f t="shared" si="7"/>
        <v>37021.050000000003</v>
      </c>
      <c r="H36" s="277">
        <f>SUM(H8:H35)</f>
        <v>0</v>
      </c>
      <c r="I36" s="308">
        <f>SUM(I14:I35)</f>
        <v>180.5428</v>
      </c>
      <c r="J36" s="303"/>
      <c r="K36" s="252"/>
      <c r="L36" s="65"/>
      <c r="M36" s="254"/>
      <c r="N36" s="254"/>
      <c r="O36" s="254"/>
      <c r="P36" s="254"/>
      <c r="Q36" s="254"/>
      <c r="R36" s="254"/>
      <c r="S36" s="254"/>
      <c r="T36" s="254"/>
      <c r="U36" s="254"/>
      <c r="V36" s="254"/>
    </row>
    <row r="37" spans="1:22" s="255" customFormat="1" ht="16.5" thickBot="1" x14ac:dyDescent="0.3">
      <c r="A37" s="275" t="s">
        <v>72</v>
      </c>
      <c r="B37" s="104"/>
      <c r="C37" s="105"/>
      <c r="D37" s="191"/>
      <c r="E37" s="107"/>
      <c r="F37" s="278"/>
      <c r="G37" s="279">
        <f>H36-G36</f>
        <v>-37021.050000000003</v>
      </c>
      <c r="H37" s="280"/>
      <c r="I37" s="281"/>
      <c r="J37" s="253"/>
      <c r="K37" s="282"/>
      <c r="L37" s="65"/>
      <c r="M37" s="254"/>
      <c r="N37" s="254"/>
      <c r="O37" s="254"/>
      <c r="P37" s="254"/>
      <c r="Q37" s="254"/>
      <c r="R37" s="254"/>
      <c r="S37" s="254"/>
      <c r="T37" s="254"/>
      <c r="U37" s="254"/>
      <c r="V37" s="254"/>
    </row>
    <row r="38" spans="1:22" s="255" customFormat="1" x14ac:dyDescent="0.2">
      <c r="A38" s="283" t="s">
        <v>73</v>
      </c>
      <c r="B38" s="52"/>
      <c r="C38" s="45"/>
      <c r="D38" s="192"/>
      <c r="E38" s="47"/>
      <c r="F38" s="284"/>
      <c r="G38" s="284"/>
      <c r="H38" s="285"/>
      <c r="I38" s="251"/>
      <c r="J38" s="253"/>
      <c r="K38" s="253"/>
      <c r="L38" s="65"/>
      <c r="M38" s="254"/>
      <c r="N38" s="254"/>
      <c r="O38" s="254"/>
      <c r="P38" s="254"/>
      <c r="Q38" s="254"/>
      <c r="R38" s="254"/>
      <c r="S38" s="254"/>
      <c r="T38" s="254"/>
      <c r="U38" s="254"/>
      <c r="V38" s="254"/>
    </row>
    <row r="39" spans="1:22" x14ac:dyDescent="0.2">
      <c r="A39" s="438"/>
      <c r="B39" s="439"/>
      <c r="C39" s="439"/>
      <c r="D39" s="439"/>
      <c r="E39" s="439"/>
      <c r="F39" s="439"/>
      <c r="G39" s="439"/>
      <c r="H39" s="440"/>
    </row>
    <row r="40" spans="1:22" x14ac:dyDescent="0.2">
      <c r="A40" s="441"/>
      <c r="B40" s="442"/>
      <c r="C40" s="442"/>
      <c r="D40" s="442"/>
      <c r="E40" s="442"/>
      <c r="F40" s="442"/>
      <c r="G40" s="442"/>
      <c r="H40" s="443"/>
    </row>
    <row r="41" spans="1:22" x14ac:dyDescent="0.2">
      <c r="A41" s="441"/>
      <c r="B41" s="442"/>
      <c r="C41" s="442"/>
      <c r="D41" s="442"/>
      <c r="E41" s="442"/>
      <c r="F41" s="442"/>
      <c r="G41" s="442"/>
      <c r="H41" s="443"/>
    </row>
    <row r="42" spans="1:22" x14ac:dyDescent="0.2">
      <c r="A42" s="441"/>
      <c r="B42" s="442"/>
      <c r="C42" s="442"/>
      <c r="D42" s="442"/>
      <c r="E42" s="442"/>
      <c r="F42" s="442"/>
      <c r="G42" s="442"/>
      <c r="H42" s="443"/>
    </row>
    <row r="43" spans="1:22" x14ac:dyDescent="0.2">
      <c r="A43" s="441"/>
      <c r="B43" s="442"/>
      <c r="C43" s="442"/>
      <c r="D43" s="442"/>
      <c r="E43" s="442"/>
      <c r="F43" s="442"/>
      <c r="G43" s="442"/>
      <c r="H43" s="443"/>
    </row>
    <row r="44" spans="1:22" x14ac:dyDescent="0.2">
      <c r="A44" s="444"/>
      <c r="B44" s="445"/>
      <c r="C44" s="445"/>
      <c r="D44" s="445"/>
      <c r="E44" s="445"/>
      <c r="F44" s="445"/>
      <c r="G44" s="445"/>
      <c r="H44" s="446"/>
    </row>
  </sheetData>
  <mergeCells count="4">
    <mergeCell ref="F6:G6"/>
    <mergeCell ref="H6:H7"/>
    <mergeCell ref="A39:H44"/>
    <mergeCell ref="I6:I7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F1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31"/>
  <sheetViews>
    <sheetView showGridLines="0" workbookViewId="0">
      <selection sqref="A1:E1"/>
    </sheetView>
  </sheetViews>
  <sheetFormatPr defaultRowHeight="15" x14ac:dyDescent="0.2"/>
  <sheetData>
    <row r="1" spans="1:8" ht="15.75" x14ac:dyDescent="0.25">
      <c r="A1" s="453" t="s">
        <v>27</v>
      </c>
      <c r="B1" s="454"/>
      <c r="C1" s="454"/>
      <c r="D1" s="454"/>
      <c r="E1" s="454"/>
      <c r="F1" s="454"/>
      <c r="G1" s="454"/>
      <c r="H1" s="455"/>
    </row>
    <row r="2" spans="1:8" x14ac:dyDescent="0.2">
      <c r="F2" s="40" t="s">
        <v>30</v>
      </c>
      <c r="G2" s="40" t="s">
        <v>16</v>
      </c>
      <c r="H2" s="40" t="s">
        <v>31</v>
      </c>
    </row>
    <row r="3" spans="1:8" x14ac:dyDescent="0.2">
      <c r="A3" s="37" t="s">
        <v>29</v>
      </c>
      <c r="B3" s="38"/>
      <c r="C3" s="38"/>
      <c r="D3" s="38"/>
      <c r="E3" s="38"/>
      <c r="F3" s="44"/>
      <c r="G3" s="39">
        <f>DATABANK!C98</f>
        <v>166.97</v>
      </c>
      <c r="H3" s="42">
        <f>F3*G3</f>
        <v>0</v>
      </c>
    </row>
    <row r="4" spans="1:8" x14ac:dyDescent="0.2">
      <c r="A4" s="37" t="s">
        <v>28</v>
      </c>
      <c r="B4" s="38"/>
      <c r="C4" s="38"/>
      <c r="D4" s="38"/>
      <c r="E4" s="38"/>
      <c r="F4" s="44"/>
      <c r="G4" s="39">
        <f>DATABANK!C99</f>
        <v>379.79</v>
      </c>
      <c r="H4" s="42">
        <f>F4*G4</f>
        <v>0</v>
      </c>
    </row>
    <row r="5" spans="1:8" ht="15.75" x14ac:dyDescent="0.25">
      <c r="A5" s="37" t="s">
        <v>4</v>
      </c>
      <c r="B5" s="38"/>
      <c r="C5" s="38"/>
      <c r="D5" s="38"/>
      <c r="E5" s="38"/>
      <c r="F5" s="43">
        <f>SUM(F3:F4)</f>
        <v>0</v>
      </c>
      <c r="G5" s="39"/>
      <c r="H5" s="41">
        <f>SUM(H3:H4)</f>
        <v>0</v>
      </c>
    </row>
    <row r="7" spans="1:8" x14ac:dyDescent="0.2">
      <c r="A7" t="s">
        <v>32</v>
      </c>
      <c r="B7" s="36" t="str">
        <f>DATABANK!B20</f>
        <v xml:space="preserve"> 1.10.2015 </v>
      </c>
    </row>
    <row r="9" spans="1:8" ht="15.75" x14ac:dyDescent="0.25">
      <c r="A9" s="453" t="s">
        <v>150</v>
      </c>
      <c r="B9" s="454"/>
      <c r="C9" s="454"/>
      <c r="D9" s="454"/>
      <c r="E9" s="454"/>
      <c r="F9" s="454"/>
      <c r="G9" s="454"/>
      <c r="H9" s="455"/>
    </row>
    <row r="10" spans="1:8" s="245" customFormat="1" x14ac:dyDescent="0.2">
      <c r="A10" s="245" t="s">
        <v>151</v>
      </c>
    </row>
    <row r="11" spans="1:8" s="245" customFormat="1" x14ac:dyDescent="0.2">
      <c r="A11" s="245" t="s">
        <v>161</v>
      </c>
      <c r="H11" s="245">
        <f>DATABANK!C121</f>
        <v>34.25</v>
      </c>
    </row>
    <row r="12" spans="1:8" s="245" customFormat="1" x14ac:dyDescent="0.2">
      <c r="A12" s="245" t="s">
        <v>152</v>
      </c>
    </row>
    <row r="13" spans="1:8" s="245" customFormat="1" x14ac:dyDescent="0.2">
      <c r="A13" s="245" t="s">
        <v>165</v>
      </c>
    </row>
    <row r="14" spans="1:8" ht="15.75" thickBot="1" x14ac:dyDescent="0.25">
      <c r="A14" s="209"/>
      <c r="B14" s="209"/>
      <c r="C14" s="209"/>
      <c r="D14" s="209"/>
      <c r="E14" s="209"/>
      <c r="F14" s="245"/>
      <c r="G14" s="245"/>
      <c r="H14" s="245"/>
    </row>
    <row r="15" spans="1:8" s="245" customFormat="1" ht="15.75" thickBot="1" x14ac:dyDescent="0.25">
      <c r="A15" s="245" t="s">
        <v>153</v>
      </c>
      <c r="C15" s="248">
        <v>0</v>
      </c>
      <c r="D15" s="245" t="s">
        <v>154</v>
      </c>
    </row>
    <row r="16" spans="1:8" s="245" customFormat="1" x14ac:dyDescent="0.2">
      <c r="A16" s="245" t="s">
        <v>155</v>
      </c>
    </row>
    <row r="17" spans="1:8" s="245" customFormat="1" x14ac:dyDescent="0.2"/>
    <row r="18" spans="1:8" x14ac:dyDescent="0.2">
      <c r="A18" s="37" t="s">
        <v>156</v>
      </c>
      <c r="B18" s="38"/>
      <c r="C18" s="38"/>
      <c r="D18" s="38"/>
      <c r="E18" s="38"/>
      <c r="F18" s="44"/>
      <c r="G18" s="39">
        <f t="shared" ref="G18:G21" si="0">MAX(0.25*C$15,H$11)</f>
        <v>34.25</v>
      </c>
      <c r="H18" s="42">
        <f t="shared" ref="H18:H21" si="1">F18*G18</f>
        <v>0</v>
      </c>
    </row>
    <row r="19" spans="1:8" s="245" customFormat="1" x14ac:dyDescent="0.2">
      <c r="A19" s="37" t="s">
        <v>157</v>
      </c>
      <c r="B19" s="38"/>
      <c r="C19" s="38"/>
      <c r="D19" s="38"/>
      <c r="E19" s="38"/>
      <c r="F19" s="44"/>
      <c r="G19" s="39">
        <f t="shared" si="0"/>
        <v>34.25</v>
      </c>
      <c r="H19" s="42">
        <f t="shared" si="1"/>
        <v>0</v>
      </c>
    </row>
    <row r="20" spans="1:8" s="245" customFormat="1" x14ac:dyDescent="0.2">
      <c r="A20" s="37" t="s">
        <v>158</v>
      </c>
      <c r="B20" s="38"/>
      <c r="C20" s="38"/>
      <c r="D20" s="38"/>
      <c r="E20" s="38"/>
      <c r="F20" s="44"/>
      <c r="G20" s="39">
        <f t="shared" si="0"/>
        <v>34.25</v>
      </c>
      <c r="H20" s="42">
        <f t="shared" si="1"/>
        <v>0</v>
      </c>
    </row>
    <row r="21" spans="1:8" s="209" customFormat="1" x14ac:dyDescent="0.2">
      <c r="A21" s="37" t="s">
        <v>159</v>
      </c>
      <c r="B21" s="38"/>
      <c r="C21" s="38"/>
      <c r="D21" s="38"/>
      <c r="E21" s="38"/>
      <c r="F21" s="44"/>
      <c r="G21" s="39">
        <f t="shared" si="0"/>
        <v>34.25</v>
      </c>
      <c r="H21" s="42">
        <f t="shared" si="1"/>
        <v>0</v>
      </c>
    </row>
    <row r="22" spans="1:8" ht="15.75" x14ac:dyDescent="0.25">
      <c r="A22" s="37" t="s">
        <v>4</v>
      </c>
      <c r="B22" s="38"/>
      <c r="C22" s="38"/>
      <c r="D22" s="38"/>
      <c r="E22" s="38"/>
      <c r="F22" s="43"/>
      <c r="G22" s="39"/>
      <c r="H22" s="41">
        <f>SUM(H18:H21)</f>
        <v>0</v>
      </c>
    </row>
    <row r="25" spans="1:8" ht="15.75" x14ac:dyDescent="0.25">
      <c r="A25" s="453" t="s">
        <v>162</v>
      </c>
      <c r="B25" s="454"/>
      <c r="C25" s="454"/>
      <c r="D25" s="454"/>
      <c r="E25" s="454"/>
      <c r="F25" s="454"/>
      <c r="G25" s="454"/>
      <c r="H25" s="455"/>
    </row>
    <row r="26" spans="1:8" s="245" customFormat="1" x14ac:dyDescent="0.2">
      <c r="A26" s="249" t="s">
        <v>166</v>
      </c>
    </row>
    <row r="27" spans="1:8" s="245" customFormat="1" x14ac:dyDescent="0.2">
      <c r="A27" s="245" t="s">
        <v>163</v>
      </c>
    </row>
    <row r="28" spans="1:8" s="245" customFormat="1" x14ac:dyDescent="0.2">
      <c r="A28" s="245" t="s">
        <v>164</v>
      </c>
    </row>
    <row r="29" spans="1:8" s="245" customFormat="1" x14ac:dyDescent="0.2"/>
    <row r="30" spans="1:8" x14ac:dyDescent="0.2">
      <c r="A30" s="209"/>
      <c r="B30" s="209"/>
      <c r="C30" s="209"/>
      <c r="D30" s="209"/>
      <c r="E30" s="209"/>
      <c r="F30" s="209"/>
      <c r="G30" s="209"/>
      <c r="H30" s="209"/>
    </row>
    <row r="31" spans="1:8" x14ac:dyDescent="0.2">
      <c r="A31" s="209"/>
      <c r="B31" s="209"/>
      <c r="C31" s="209"/>
      <c r="D31" s="209"/>
      <c r="E31" s="209"/>
      <c r="F31" s="209"/>
      <c r="G31" s="209"/>
      <c r="H31" s="209"/>
    </row>
  </sheetData>
  <mergeCells count="3">
    <mergeCell ref="A1:H1"/>
    <mergeCell ref="A9:H9"/>
    <mergeCell ref="A25:H25"/>
  </mergeCells>
  <phoneticPr fontId="1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U147"/>
  <sheetViews>
    <sheetView showGridLines="0" workbookViewId="0">
      <selection sqref="A1:E1"/>
    </sheetView>
  </sheetViews>
  <sheetFormatPr defaultRowHeight="15" x14ac:dyDescent="0.2"/>
  <cols>
    <col min="1" max="1" width="12" bestFit="1" customWidth="1"/>
    <col min="2" max="13" width="6.77734375" customWidth="1"/>
    <col min="19" max="19" width="9.44140625" bestFit="1" customWidth="1"/>
  </cols>
  <sheetData>
    <row r="1" spans="1:13" s="320" customFormat="1" ht="15.75" x14ac:dyDescent="0.25">
      <c r="A1" s="238" t="s">
        <v>188</v>
      </c>
      <c r="B1" s="223">
        <v>41852</v>
      </c>
      <c r="C1" s="223">
        <v>41883</v>
      </c>
      <c r="D1" s="223">
        <v>41913</v>
      </c>
      <c r="E1" s="223">
        <v>41944</v>
      </c>
      <c r="F1" s="223">
        <v>41974</v>
      </c>
      <c r="G1" s="223">
        <v>42005</v>
      </c>
      <c r="H1" s="223">
        <v>42036</v>
      </c>
      <c r="I1" s="223">
        <v>42064</v>
      </c>
      <c r="J1" s="223">
        <v>42095</v>
      </c>
      <c r="K1" s="223">
        <v>42125</v>
      </c>
      <c r="L1" s="223">
        <v>42156</v>
      </c>
      <c r="M1" s="224">
        <v>42186</v>
      </c>
    </row>
    <row r="2" spans="1:13" s="320" customFormat="1" x14ac:dyDescent="0.2">
      <c r="A2" s="225" t="s">
        <v>40</v>
      </c>
      <c r="B2" s="130">
        <v>31</v>
      </c>
      <c r="C2" s="130">
        <v>30</v>
      </c>
      <c r="D2" s="130">
        <v>31</v>
      </c>
      <c r="E2" s="130">
        <v>30</v>
      </c>
      <c r="F2" s="130">
        <v>31</v>
      </c>
      <c r="G2" s="130">
        <v>31</v>
      </c>
      <c r="H2" s="130">
        <v>29</v>
      </c>
      <c r="I2" s="130">
        <v>31</v>
      </c>
      <c r="J2" s="130">
        <v>30</v>
      </c>
      <c r="K2" s="130">
        <v>31</v>
      </c>
      <c r="L2" s="130">
        <v>30</v>
      </c>
      <c r="M2" s="226">
        <v>31</v>
      </c>
    </row>
    <row r="3" spans="1:13" s="320" customFormat="1" x14ac:dyDescent="0.2">
      <c r="A3" s="239" t="s">
        <v>41</v>
      </c>
      <c r="B3" s="240">
        <f>B2-B5-B4-B7</f>
        <v>10</v>
      </c>
      <c r="C3" s="240">
        <f t="shared" ref="C3:L3" si="0">C2-C5-C4-C7</f>
        <v>8</v>
      </c>
      <c r="D3" s="240">
        <f t="shared" si="0"/>
        <v>9</v>
      </c>
      <c r="E3" s="240">
        <f t="shared" si="0"/>
        <v>9</v>
      </c>
      <c r="F3" s="240">
        <v>8</v>
      </c>
      <c r="G3" s="240">
        <f t="shared" si="0"/>
        <v>10</v>
      </c>
      <c r="H3" s="240">
        <v>8</v>
      </c>
      <c r="I3" s="240">
        <v>8</v>
      </c>
      <c r="J3" s="240">
        <v>9</v>
      </c>
      <c r="K3" s="240">
        <v>9</v>
      </c>
      <c r="L3" s="240">
        <f t="shared" si="0"/>
        <v>8</v>
      </c>
      <c r="M3" s="241">
        <v>10</v>
      </c>
    </row>
    <row r="4" spans="1:13" s="320" customFormat="1" x14ac:dyDescent="0.2">
      <c r="A4" s="239" t="s">
        <v>42</v>
      </c>
      <c r="B4" s="240">
        <v>0</v>
      </c>
      <c r="C4" s="240">
        <v>0</v>
      </c>
      <c r="D4" s="240">
        <v>0</v>
      </c>
      <c r="E4" s="240">
        <v>0</v>
      </c>
      <c r="F4" s="240">
        <v>1</v>
      </c>
      <c r="G4" s="240">
        <v>1</v>
      </c>
      <c r="H4" s="240">
        <v>0</v>
      </c>
      <c r="I4" s="240">
        <v>3</v>
      </c>
      <c r="J4" s="240">
        <v>1</v>
      </c>
      <c r="K4" s="240">
        <v>2</v>
      </c>
      <c r="L4" s="240">
        <v>0</v>
      </c>
      <c r="M4" s="241">
        <v>0</v>
      </c>
    </row>
    <row r="5" spans="1:13" s="320" customFormat="1" x14ac:dyDescent="0.2">
      <c r="A5" s="225" t="s">
        <v>43</v>
      </c>
      <c r="B5" s="130">
        <v>21</v>
      </c>
      <c r="C5" s="130">
        <v>22</v>
      </c>
      <c r="D5" s="130">
        <v>17</v>
      </c>
      <c r="E5" s="130">
        <v>21</v>
      </c>
      <c r="F5" s="130">
        <v>21</v>
      </c>
      <c r="G5" s="130">
        <v>20</v>
      </c>
      <c r="H5" s="130">
        <v>21</v>
      </c>
      <c r="I5" s="130">
        <v>20</v>
      </c>
      <c r="J5" s="130">
        <v>20</v>
      </c>
      <c r="K5" s="130">
        <v>20</v>
      </c>
      <c r="L5" s="130">
        <v>22</v>
      </c>
      <c r="M5" s="226">
        <v>2</v>
      </c>
    </row>
    <row r="6" spans="1:13" s="320" customFormat="1" x14ac:dyDescent="0.2">
      <c r="A6" s="227" t="s">
        <v>44</v>
      </c>
      <c r="B6" s="131">
        <v>16</v>
      </c>
      <c r="C6" s="131">
        <v>22</v>
      </c>
      <c r="D6" s="131">
        <f>D5</f>
        <v>17</v>
      </c>
      <c r="E6" s="131">
        <v>21</v>
      </c>
      <c r="F6" s="131">
        <v>14</v>
      </c>
      <c r="G6" s="131">
        <f>G5</f>
        <v>20</v>
      </c>
      <c r="H6" s="131">
        <v>16</v>
      </c>
      <c r="I6" s="131">
        <v>17</v>
      </c>
      <c r="J6" s="131">
        <v>20</v>
      </c>
      <c r="K6" s="131">
        <v>19</v>
      </c>
      <c r="L6" s="131">
        <v>18</v>
      </c>
      <c r="M6" s="228">
        <v>0</v>
      </c>
    </row>
    <row r="7" spans="1:13" s="320" customFormat="1" x14ac:dyDescent="0.2">
      <c r="A7" s="239" t="s">
        <v>46</v>
      </c>
      <c r="B7" s="240">
        <v>0</v>
      </c>
      <c r="C7" s="240">
        <v>0</v>
      </c>
      <c r="D7" s="240">
        <v>5</v>
      </c>
      <c r="E7" s="240">
        <v>0</v>
      </c>
      <c r="F7" s="240">
        <v>0</v>
      </c>
      <c r="G7" s="240">
        <v>0</v>
      </c>
      <c r="H7" s="240">
        <v>0</v>
      </c>
      <c r="I7" s="240">
        <v>0</v>
      </c>
      <c r="J7" s="240">
        <v>0</v>
      </c>
      <c r="K7" s="240">
        <v>0</v>
      </c>
      <c r="L7" s="240">
        <v>0</v>
      </c>
      <c r="M7" s="241">
        <v>20</v>
      </c>
    </row>
    <row r="8" spans="1:13" s="320" customFormat="1" ht="15.75" thickBot="1" x14ac:dyDescent="0.25">
      <c r="A8" s="229"/>
      <c r="B8" s="2"/>
      <c r="C8" s="2"/>
      <c r="D8" s="2"/>
      <c r="E8" s="2"/>
      <c r="F8" s="2"/>
      <c r="M8" s="233"/>
    </row>
    <row r="9" spans="1:13" s="320" customFormat="1" ht="15.75" x14ac:dyDescent="0.25">
      <c r="A9" s="232" t="s">
        <v>40</v>
      </c>
      <c r="B9" s="58">
        <f>SUM(B2:M2)</f>
        <v>366</v>
      </c>
      <c r="C9" s="2"/>
      <c r="D9" s="59">
        <v>1924</v>
      </c>
      <c r="E9" s="59">
        <f>D9</f>
        <v>1924</v>
      </c>
      <c r="F9" s="322" t="s">
        <v>189</v>
      </c>
      <c r="G9" s="322"/>
      <c r="H9" s="230"/>
      <c r="I9" s="230"/>
      <c r="J9" s="230"/>
      <c r="K9" s="230"/>
      <c r="L9" s="230"/>
      <c r="M9" s="231"/>
    </row>
    <row r="10" spans="1:13" s="320" customFormat="1" ht="15.75" x14ac:dyDescent="0.25">
      <c r="A10" s="242" t="s">
        <v>41</v>
      </c>
      <c r="B10" s="243">
        <f>SUM(B3:M3)</f>
        <v>106</v>
      </c>
      <c r="C10" s="2"/>
      <c r="D10" s="60"/>
      <c r="E10" s="60"/>
      <c r="F10" s="322" t="s">
        <v>190</v>
      </c>
      <c r="G10" s="322"/>
      <c r="H10" s="230"/>
      <c r="I10" s="230"/>
      <c r="J10" s="230"/>
      <c r="K10" s="230"/>
      <c r="L10" s="230"/>
      <c r="M10" s="231"/>
    </row>
    <row r="11" spans="1:13" s="320" customFormat="1" x14ac:dyDescent="0.2">
      <c r="A11" s="242" t="s">
        <v>42</v>
      </c>
      <c r="B11" s="243">
        <f>SUM(B4:M4)</f>
        <v>8</v>
      </c>
      <c r="C11" s="2">
        <v>7.4</v>
      </c>
      <c r="D11" s="60">
        <f>B11*C11</f>
        <v>59.2</v>
      </c>
      <c r="E11" s="60">
        <f>D11</f>
        <v>59.2</v>
      </c>
      <c r="F11" s="2"/>
      <c r="G11" s="2"/>
      <c r="H11" s="2"/>
      <c r="I11" s="2"/>
      <c r="J11" s="2"/>
      <c r="K11" s="2"/>
      <c r="L11" s="2"/>
      <c r="M11" s="233"/>
    </row>
    <row r="12" spans="1:13" s="320" customFormat="1" x14ac:dyDescent="0.2">
      <c r="A12" s="232" t="s">
        <v>43</v>
      </c>
      <c r="B12" s="103">
        <f>SUM(B5:M5)-1</f>
        <v>226</v>
      </c>
      <c r="C12" s="2"/>
      <c r="D12" s="60"/>
      <c r="E12" s="60"/>
      <c r="F12" s="323" t="s">
        <v>191</v>
      </c>
      <c r="G12" s="2"/>
      <c r="H12" s="2"/>
      <c r="I12" s="2"/>
      <c r="J12" s="2"/>
      <c r="K12" s="2"/>
      <c r="L12" s="2"/>
      <c r="M12" s="233"/>
    </row>
    <row r="13" spans="1:13" s="320" customFormat="1" x14ac:dyDescent="0.2">
      <c r="A13" s="242" t="s">
        <v>46</v>
      </c>
      <c r="B13" s="243">
        <f>SUM(B7:M7)</f>
        <v>25</v>
      </c>
      <c r="C13" s="2">
        <v>7.4</v>
      </c>
      <c r="D13" s="60">
        <f>B13*C13</f>
        <v>185</v>
      </c>
      <c r="E13" s="60">
        <f>D13</f>
        <v>185</v>
      </c>
      <c r="F13" s="324" t="s">
        <v>192</v>
      </c>
      <c r="G13" s="2"/>
      <c r="H13" s="2"/>
      <c r="I13" s="2"/>
      <c r="J13" s="2"/>
      <c r="K13" s="2"/>
      <c r="L13" s="2"/>
      <c r="M13" s="233"/>
    </row>
    <row r="14" spans="1:13" s="320" customFormat="1" x14ac:dyDescent="0.2">
      <c r="A14" s="242" t="s">
        <v>47</v>
      </c>
      <c r="B14" s="243">
        <v>5</v>
      </c>
      <c r="C14" s="2">
        <v>7.4</v>
      </c>
      <c r="D14" s="60">
        <f>B14*C14</f>
        <v>37</v>
      </c>
      <c r="E14" s="60"/>
      <c r="F14" s="2"/>
      <c r="G14" s="2"/>
      <c r="H14" s="2"/>
      <c r="I14" s="2"/>
      <c r="J14" s="2"/>
      <c r="K14" s="2"/>
      <c r="L14" s="2"/>
      <c r="M14" s="233"/>
    </row>
    <row r="15" spans="1:13" s="320" customFormat="1" ht="16.5" thickBot="1" x14ac:dyDescent="0.3">
      <c r="A15" s="234" t="s">
        <v>44</v>
      </c>
      <c r="B15" s="235">
        <f>SUM(B6:M6)</f>
        <v>200</v>
      </c>
      <c r="C15" s="321"/>
      <c r="D15" s="61">
        <f>D9-D11-D13-D14</f>
        <v>1642.8</v>
      </c>
      <c r="E15" s="61">
        <f>E9-E11-E13-E14</f>
        <v>1679.8</v>
      </c>
      <c r="F15" s="321"/>
      <c r="G15" s="321"/>
      <c r="H15" s="321"/>
      <c r="I15" s="321"/>
      <c r="J15" s="321"/>
      <c r="K15" s="321"/>
      <c r="L15" s="321"/>
      <c r="M15" s="236"/>
    </row>
    <row r="16" spans="1:13" s="320" customFormat="1" ht="15.75" thickBot="1" x14ac:dyDescent="0.25"/>
    <row r="17" spans="1:21" s="148" customFormat="1" ht="15.75" x14ac:dyDescent="0.25">
      <c r="A17" s="238" t="s">
        <v>136</v>
      </c>
      <c r="B17" s="223">
        <v>41852</v>
      </c>
      <c r="C17" s="223">
        <v>41883</v>
      </c>
      <c r="D17" s="223">
        <v>41913</v>
      </c>
      <c r="E17" s="223">
        <v>41944</v>
      </c>
      <c r="F17" s="223">
        <v>41974</v>
      </c>
      <c r="G17" s="223">
        <v>42005</v>
      </c>
      <c r="H17" s="223">
        <v>42036</v>
      </c>
      <c r="I17" s="223">
        <v>42064</v>
      </c>
      <c r="J17" s="223">
        <v>42095</v>
      </c>
      <c r="K17" s="223">
        <v>42125</v>
      </c>
      <c r="L17" s="223">
        <v>42156</v>
      </c>
      <c r="M17" s="224">
        <v>42186</v>
      </c>
    </row>
    <row r="18" spans="1:21" s="148" customFormat="1" x14ac:dyDescent="0.2">
      <c r="A18" s="225" t="s">
        <v>40</v>
      </c>
      <c r="B18" s="130">
        <v>31</v>
      </c>
      <c r="C18" s="130">
        <v>30</v>
      </c>
      <c r="D18" s="130">
        <v>31</v>
      </c>
      <c r="E18" s="130">
        <v>30</v>
      </c>
      <c r="F18" s="130">
        <v>31</v>
      </c>
      <c r="G18" s="130">
        <v>31</v>
      </c>
      <c r="H18" s="130">
        <v>28</v>
      </c>
      <c r="I18" s="130">
        <v>31</v>
      </c>
      <c r="J18" s="130">
        <v>30</v>
      </c>
      <c r="K18" s="130">
        <v>31</v>
      </c>
      <c r="L18" s="130">
        <v>30</v>
      </c>
      <c r="M18" s="226">
        <v>31</v>
      </c>
    </row>
    <row r="19" spans="1:21" s="148" customFormat="1" x14ac:dyDescent="0.2">
      <c r="A19" s="239" t="s">
        <v>41</v>
      </c>
      <c r="B19" s="240">
        <f>B18-B21-B20-B23</f>
        <v>10</v>
      </c>
      <c r="C19" s="240">
        <f t="shared" ref="C19:M19" si="1">C18-C21-C20-C23</f>
        <v>8</v>
      </c>
      <c r="D19" s="240">
        <f t="shared" si="1"/>
        <v>8</v>
      </c>
      <c r="E19" s="240">
        <f t="shared" si="1"/>
        <v>10</v>
      </c>
      <c r="F19" s="240">
        <f t="shared" si="1"/>
        <v>8</v>
      </c>
      <c r="G19" s="240">
        <f t="shared" si="1"/>
        <v>9</v>
      </c>
      <c r="H19" s="240">
        <f t="shared" si="1"/>
        <v>8</v>
      </c>
      <c r="I19" s="240">
        <f t="shared" si="1"/>
        <v>9</v>
      </c>
      <c r="J19" s="240">
        <f t="shared" si="1"/>
        <v>8</v>
      </c>
      <c r="K19" s="240">
        <f t="shared" si="1"/>
        <v>10</v>
      </c>
      <c r="L19" s="240">
        <f t="shared" si="1"/>
        <v>8</v>
      </c>
      <c r="M19" s="241">
        <f t="shared" si="1"/>
        <v>8</v>
      </c>
    </row>
    <row r="20" spans="1:21" s="148" customFormat="1" x14ac:dyDescent="0.2">
      <c r="A20" s="239" t="s">
        <v>42</v>
      </c>
      <c r="B20" s="240">
        <v>0</v>
      </c>
      <c r="C20" s="240">
        <v>0</v>
      </c>
      <c r="D20" s="240">
        <v>0</v>
      </c>
      <c r="E20" s="240">
        <v>0</v>
      </c>
      <c r="F20" s="240">
        <v>2</v>
      </c>
      <c r="G20" s="240">
        <v>1</v>
      </c>
      <c r="H20" s="240">
        <v>0</v>
      </c>
      <c r="I20" s="240">
        <v>0</v>
      </c>
      <c r="J20" s="240">
        <v>3</v>
      </c>
      <c r="K20" s="240">
        <v>3</v>
      </c>
      <c r="L20" s="240"/>
      <c r="M20" s="241">
        <v>0</v>
      </c>
    </row>
    <row r="21" spans="1:21" s="148" customFormat="1" x14ac:dyDescent="0.2">
      <c r="A21" s="225" t="s">
        <v>43</v>
      </c>
      <c r="B21" s="130">
        <v>21</v>
      </c>
      <c r="C21" s="130">
        <v>22</v>
      </c>
      <c r="D21" s="130">
        <v>18</v>
      </c>
      <c r="E21" s="130">
        <v>20</v>
      </c>
      <c r="F21" s="130">
        <v>21</v>
      </c>
      <c r="G21" s="130">
        <v>21</v>
      </c>
      <c r="H21" s="130">
        <v>20</v>
      </c>
      <c r="I21" s="130">
        <v>22</v>
      </c>
      <c r="J21" s="130">
        <v>19</v>
      </c>
      <c r="K21" s="130">
        <v>18</v>
      </c>
      <c r="L21" s="130">
        <v>22</v>
      </c>
      <c r="M21" s="226">
        <v>3</v>
      </c>
    </row>
    <row r="22" spans="1:21" s="148" customFormat="1" x14ac:dyDescent="0.2">
      <c r="A22" s="227" t="s">
        <v>44</v>
      </c>
      <c r="B22" s="131">
        <v>15</v>
      </c>
      <c r="C22" s="131">
        <v>22</v>
      </c>
      <c r="D22" s="131">
        <f>D21</f>
        <v>18</v>
      </c>
      <c r="E22" s="131">
        <v>20</v>
      </c>
      <c r="F22" s="131">
        <v>15</v>
      </c>
      <c r="G22" s="131">
        <f>G21</f>
        <v>21</v>
      </c>
      <c r="H22" s="131">
        <v>15</v>
      </c>
      <c r="I22" s="131">
        <v>20</v>
      </c>
      <c r="J22" s="131">
        <v>18</v>
      </c>
      <c r="K22" s="131">
        <v>17</v>
      </c>
      <c r="L22" s="131">
        <v>19</v>
      </c>
      <c r="M22" s="228">
        <v>0</v>
      </c>
    </row>
    <row r="23" spans="1:21" s="148" customFormat="1" x14ac:dyDescent="0.2">
      <c r="A23" s="239" t="s">
        <v>46</v>
      </c>
      <c r="B23" s="240">
        <v>0</v>
      </c>
      <c r="C23" s="240">
        <v>0</v>
      </c>
      <c r="D23" s="240">
        <v>5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1">
        <v>20</v>
      </c>
    </row>
    <row r="24" spans="1:21" s="148" customFormat="1" ht="15.75" thickBot="1" x14ac:dyDescent="0.25">
      <c r="A24" s="229"/>
      <c r="B24" s="2"/>
      <c r="C24" s="2"/>
      <c r="D24" s="2"/>
      <c r="E24" s="2"/>
      <c r="F24" s="2"/>
      <c r="M24" s="233"/>
      <c r="O24" s="220">
        <v>1680</v>
      </c>
      <c r="P24" s="220"/>
      <c r="Q24" s="220"/>
      <c r="R24" s="220"/>
      <c r="S24" s="220"/>
      <c r="T24" s="220"/>
      <c r="U24" s="220"/>
    </row>
    <row r="25" spans="1:21" s="148" customFormat="1" x14ac:dyDescent="0.2">
      <c r="A25" s="232" t="s">
        <v>40</v>
      </c>
      <c r="B25" s="58">
        <f>SUM(B18:M18)</f>
        <v>365</v>
      </c>
      <c r="C25" s="2"/>
      <c r="D25" s="59">
        <v>1924</v>
      </c>
      <c r="E25" s="59">
        <f>D25</f>
        <v>1924</v>
      </c>
      <c r="F25" s="2"/>
      <c r="G25" s="237" t="s">
        <v>145</v>
      </c>
      <c r="H25" s="230"/>
      <c r="I25" s="230"/>
      <c r="J25" s="230"/>
      <c r="K25" s="230"/>
      <c r="L25" s="230"/>
      <c r="M25" s="231"/>
      <c r="O25" s="220">
        <v>31</v>
      </c>
      <c r="P25" s="220"/>
      <c r="Q25" s="220"/>
      <c r="R25" s="220"/>
      <c r="S25" s="221"/>
      <c r="T25" s="221"/>
      <c r="U25" s="222"/>
    </row>
    <row r="26" spans="1:21" s="148" customFormat="1" x14ac:dyDescent="0.2">
      <c r="A26" s="242" t="s">
        <v>41</v>
      </c>
      <c r="B26" s="243">
        <f>SUM(B19:M19)</f>
        <v>104</v>
      </c>
      <c r="C26" s="2"/>
      <c r="D26" s="60"/>
      <c r="E26" s="60"/>
      <c r="F26" s="2"/>
      <c r="G26" s="237" t="s">
        <v>146</v>
      </c>
      <c r="H26" s="230"/>
      <c r="I26" s="230"/>
      <c r="J26" s="230"/>
      <c r="K26" s="230"/>
      <c r="L26" s="230"/>
      <c r="M26" s="231"/>
      <c r="O26" s="220"/>
      <c r="P26" s="220"/>
      <c r="Q26" s="220"/>
      <c r="R26" s="220"/>
      <c r="S26" s="221"/>
      <c r="T26" s="221"/>
      <c r="U26" s="220"/>
    </row>
    <row r="27" spans="1:21" s="148" customFormat="1" x14ac:dyDescent="0.2">
      <c r="A27" s="242" t="s">
        <v>42</v>
      </c>
      <c r="B27" s="243">
        <f>SUM(B20:M20)</f>
        <v>9</v>
      </c>
      <c r="C27" s="2">
        <v>7.4</v>
      </c>
      <c r="D27" s="60">
        <f>B27*C27</f>
        <v>66.600000000000009</v>
      </c>
      <c r="E27" s="60">
        <f>D27</f>
        <v>66.600000000000009</v>
      </c>
      <c r="F27" s="2"/>
      <c r="G27" s="2"/>
      <c r="H27" s="2"/>
      <c r="I27" s="2"/>
      <c r="J27" s="2"/>
      <c r="K27" s="2"/>
      <c r="L27" s="2"/>
      <c r="M27" s="233"/>
      <c r="O27" s="220"/>
      <c r="P27" s="220"/>
      <c r="Q27" s="220"/>
      <c r="R27" s="220"/>
      <c r="S27" s="221"/>
      <c r="T27" s="220"/>
      <c r="U27" s="220"/>
    </row>
    <row r="28" spans="1:21" s="148" customFormat="1" x14ac:dyDescent="0.2">
      <c r="A28" s="232" t="s">
        <v>43</v>
      </c>
      <c r="B28" s="103">
        <f>SUM(B21:M21)-1</f>
        <v>226</v>
      </c>
      <c r="C28" s="2"/>
      <c r="D28" s="60"/>
      <c r="E28" s="60"/>
      <c r="F28" s="2"/>
      <c r="G28" s="2"/>
      <c r="H28" s="2"/>
      <c r="I28" s="2"/>
      <c r="J28" s="2"/>
      <c r="K28" s="2"/>
      <c r="L28" s="2"/>
      <c r="M28" s="233"/>
      <c r="O28" s="220"/>
      <c r="P28" s="220"/>
      <c r="Q28" s="220"/>
      <c r="R28" s="220"/>
      <c r="S28" s="220"/>
      <c r="T28" s="221"/>
      <c r="U28" s="220"/>
    </row>
    <row r="29" spans="1:21" s="148" customFormat="1" x14ac:dyDescent="0.2">
      <c r="A29" s="242" t="s">
        <v>46</v>
      </c>
      <c r="B29" s="243">
        <f>SUM(B23:M23)</f>
        <v>25</v>
      </c>
      <c r="C29" s="2">
        <v>7.4</v>
      </c>
      <c r="D29" s="60">
        <f>B29*C29</f>
        <v>185</v>
      </c>
      <c r="E29" s="60">
        <f>D29</f>
        <v>185</v>
      </c>
      <c r="F29" s="2"/>
      <c r="G29" s="2"/>
      <c r="H29" s="2"/>
      <c r="I29" s="2"/>
      <c r="J29" s="2"/>
      <c r="K29" s="2"/>
      <c r="L29" s="2"/>
      <c r="M29" s="233"/>
    </row>
    <row r="30" spans="1:21" s="148" customFormat="1" x14ac:dyDescent="0.2">
      <c r="A30" s="242" t="s">
        <v>47</v>
      </c>
      <c r="B30" s="243">
        <v>5</v>
      </c>
      <c r="C30" s="2">
        <v>7.4</v>
      </c>
      <c r="D30" s="60">
        <f>B30*C30</f>
        <v>37</v>
      </c>
      <c r="E30" s="60"/>
      <c r="F30" s="2"/>
      <c r="G30" s="2"/>
      <c r="H30" s="2"/>
      <c r="I30" s="2"/>
      <c r="J30" s="2"/>
      <c r="K30" s="2"/>
      <c r="L30" s="2"/>
      <c r="M30" s="233"/>
    </row>
    <row r="31" spans="1:21" s="148" customFormat="1" ht="16.5" thickBot="1" x14ac:dyDescent="0.3">
      <c r="A31" s="234" t="s">
        <v>44</v>
      </c>
      <c r="B31" s="235">
        <f>SUM(B22:M22)</f>
        <v>200</v>
      </c>
      <c r="C31" s="208"/>
      <c r="D31" s="61">
        <f>D25-D27-D29-D30</f>
        <v>1635.4</v>
      </c>
      <c r="E31" s="61">
        <f>E25-E27-E29-E30</f>
        <v>1672.4</v>
      </c>
      <c r="F31" s="208"/>
      <c r="G31" s="208"/>
      <c r="H31" s="208"/>
      <c r="I31" s="208"/>
      <c r="J31" s="208"/>
      <c r="K31" s="208"/>
      <c r="L31" s="208"/>
      <c r="M31" s="236"/>
    </row>
    <row r="32" spans="1:21" s="148" customFormat="1" ht="15.75" thickBot="1" x14ac:dyDescent="0.25"/>
    <row r="33" spans="1:14" s="146" customFormat="1" ht="15.75" x14ac:dyDescent="0.25">
      <c r="A33" s="325" t="s">
        <v>92</v>
      </c>
      <c r="B33" s="326">
        <v>41487</v>
      </c>
      <c r="C33" s="326">
        <v>41518</v>
      </c>
      <c r="D33" s="326">
        <v>41548</v>
      </c>
      <c r="E33" s="326">
        <v>41579</v>
      </c>
      <c r="F33" s="326">
        <v>41609</v>
      </c>
      <c r="G33" s="326">
        <v>41640</v>
      </c>
      <c r="H33" s="326">
        <v>41671</v>
      </c>
      <c r="I33" s="326">
        <v>41699</v>
      </c>
      <c r="J33" s="326">
        <v>41730</v>
      </c>
      <c r="K33" s="326">
        <v>41760</v>
      </c>
      <c r="L33" s="326">
        <v>41791</v>
      </c>
      <c r="M33" s="327">
        <v>41821</v>
      </c>
      <c r="N33" s="110"/>
    </row>
    <row r="34" spans="1:14" s="146" customFormat="1" x14ac:dyDescent="0.2">
      <c r="A34" s="328" t="s">
        <v>40</v>
      </c>
      <c r="B34" s="288">
        <v>31</v>
      </c>
      <c r="C34" s="288">
        <v>30</v>
      </c>
      <c r="D34" s="288">
        <v>31</v>
      </c>
      <c r="E34" s="288">
        <v>30</v>
      </c>
      <c r="F34" s="288">
        <v>31</v>
      </c>
      <c r="G34" s="288">
        <v>31</v>
      </c>
      <c r="H34" s="288">
        <v>28</v>
      </c>
      <c r="I34" s="288">
        <v>31</v>
      </c>
      <c r="J34" s="288">
        <v>30</v>
      </c>
      <c r="K34" s="288">
        <v>31</v>
      </c>
      <c r="L34" s="288">
        <v>30</v>
      </c>
      <c r="M34" s="329">
        <v>31</v>
      </c>
      <c r="N34" s="110"/>
    </row>
    <row r="35" spans="1:14" s="146" customFormat="1" x14ac:dyDescent="0.2">
      <c r="A35" s="328" t="s">
        <v>41</v>
      </c>
      <c r="B35" s="288">
        <v>9</v>
      </c>
      <c r="C35" s="288">
        <v>9</v>
      </c>
      <c r="D35" s="288">
        <v>8</v>
      </c>
      <c r="E35" s="288">
        <v>9</v>
      </c>
      <c r="F35" s="288">
        <v>9</v>
      </c>
      <c r="G35" s="288">
        <v>8</v>
      </c>
      <c r="H35" s="288">
        <v>8</v>
      </c>
      <c r="I35" s="288">
        <v>10</v>
      </c>
      <c r="J35" s="288">
        <v>8</v>
      </c>
      <c r="K35" s="288">
        <v>9</v>
      </c>
      <c r="L35" s="288">
        <v>9</v>
      </c>
      <c r="M35" s="329">
        <v>8</v>
      </c>
      <c r="N35" s="110"/>
    </row>
    <row r="36" spans="1:14" s="146" customFormat="1" x14ac:dyDescent="0.2">
      <c r="A36" s="328" t="s">
        <v>42</v>
      </c>
      <c r="B36" s="288">
        <v>0</v>
      </c>
      <c r="C36" s="288">
        <v>0</v>
      </c>
      <c r="D36" s="288">
        <v>0</v>
      </c>
      <c r="E36" s="288">
        <v>0</v>
      </c>
      <c r="F36" s="288">
        <v>2</v>
      </c>
      <c r="G36" s="288">
        <v>1</v>
      </c>
      <c r="H36" s="288">
        <v>0</v>
      </c>
      <c r="I36" s="288">
        <v>0</v>
      </c>
      <c r="J36" s="288">
        <v>3</v>
      </c>
      <c r="K36" s="288">
        <v>2</v>
      </c>
      <c r="L36" s="288">
        <v>1</v>
      </c>
      <c r="M36" s="329">
        <v>0</v>
      </c>
      <c r="N36" s="110"/>
    </row>
    <row r="37" spans="1:14" s="146" customFormat="1" x14ac:dyDescent="0.2">
      <c r="A37" s="328" t="s">
        <v>43</v>
      </c>
      <c r="B37" s="288">
        <f t="shared" ref="B37:M37" si="2">B34-B35-B36-B39</f>
        <v>22</v>
      </c>
      <c r="C37" s="288">
        <f t="shared" si="2"/>
        <v>21</v>
      </c>
      <c r="D37" s="288">
        <f t="shared" si="2"/>
        <v>18</v>
      </c>
      <c r="E37" s="288">
        <f t="shared" si="2"/>
        <v>21</v>
      </c>
      <c r="F37" s="288">
        <f t="shared" si="2"/>
        <v>20</v>
      </c>
      <c r="G37" s="288">
        <f t="shared" si="2"/>
        <v>22</v>
      </c>
      <c r="H37" s="288">
        <f t="shared" si="2"/>
        <v>20</v>
      </c>
      <c r="I37" s="288">
        <f t="shared" si="2"/>
        <v>21</v>
      </c>
      <c r="J37" s="288">
        <f t="shared" si="2"/>
        <v>19</v>
      </c>
      <c r="K37" s="288">
        <f t="shared" si="2"/>
        <v>20</v>
      </c>
      <c r="L37" s="288">
        <f t="shared" si="2"/>
        <v>20</v>
      </c>
      <c r="M37" s="329">
        <f t="shared" si="2"/>
        <v>3</v>
      </c>
      <c r="N37" s="110"/>
    </row>
    <row r="38" spans="1:14" s="146" customFormat="1" x14ac:dyDescent="0.2">
      <c r="A38" s="330" t="s">
        <v>44</v>
      </c>
      <c r="B38" s="289">
        <v>15</v>
      </c>
      <c r="C38" s="289">
        <f>C37</f>
        <v>21</v>
      </c>
      <c r="D38" s="289">
        <f>D37</f>
        <v>18</v>
      </c>
      <c r="E38" s="289">
        <v>22</v>
      </c>
      <c r="F38" s="289">
        <v>15</v>
      </c>
      <c r="G38" s="289">
        <f>G37</f>
        <v>22</v>
      </c>
      <c r="H38" s="289">
        <v>15</v>
      </c>
      <c r="I38" s="289">
        <v>16</v>
      </c>
      <c r="J38" s="289">
        <f>J37</f>
        <v>19</v>
      </c>
      <c r="K38" s="289">
        <v>18</v>
      </c>
      <c r="L38" s="289">
        <v>19</v>
      </c>
      <c r="M38" s="331">
        <v>0</v>
      </c>
      <c r="N38" s="110"/>
    </row>
    <row r="39" spans="1:14" s="146" customFormat="1" x14ac:dyDescent="0.2">
      <c r="A39" s="328" t="s">
        <v>46</v>
      </c>
      <c r="B39" s="288">
        <v>0</v>
      </c>
      <c r="C39" s="288">
        <v>0</v>
      </c>
      <c r="D39" s="288">
        <v>5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8">
        <v>0</v>
      </c>
      <c r="L39" s="288">
        <v>0</v>
      </c>
      <c r="M39" s="329">
        <v>20</v>
      </c>
      <c r="N39" s="110"/>
    </row>
    <row r="40" spans="1:14" s="146" customFormat="1" ht="15.75" thickBot="1" x14ac:dyDescent="0.25">
      <c r="A40" s="332"/>
      <c r="B40" s="295"/>
      <c r="C40" s="295"/>
      <c r="D40" s="295"/>
      <c r="E40" s="295"/>
      <c r="F40" s="295"/>
      <c r="G40" s="333" t="s">
        <v>88</v>
      </c>
      <c r="H40" s="333"/>
      <c r="I40" s="333"/>
      <c r="J40" s="333"/>
      <c r="K40" s="333"/>
      <c r="L40" s="333"/>
      <c r="M40" s="334"/>
      <c r="N40" s="110"/>
    </row>
    <row r="41" spans="1:14" s="146" customFormat="1" x14ac:dyDescent="0.2">
      <c r="A41" s="335" t="s">
        <v>40</v>
      </c>
      <c r="B41" s="290">
        <f>SUM(B34:M34)</f>
        <v>365</v>
      </c>
      <c r="C41" s="295"/>
      <c r="D41" s="291">
        <v>1924</v>
      </c>
      <c r="E41" s="291">
        <f>D41</f>
        <v>1924</v>
      </c>
      <c r="F41" s="295"/>
      <c r="G41" s="333" t="s">
        <v>89</v>
      </c>
      <c r="H41" s="333"/>
      <c r="I41" s="333"/>
      <c r="J41" s="333"/>
      <c r="K41" s="333"/>
      <c r="L41" s="333"/>
      <c r="M41" s="334"/>
      <c r="N41" s="110"/>
    </row>
    <row r="42" spans="1:14" s="146" customFormat="1" x14ac:dyDescent="0.2">
      <c r="A42" s="335" t="s">
        <v>41</v>
      </c>
      <c r="B42" s="290">
        <f>SUM(B35:M35)</f>
        <v>104</v>
      </c>
      <c r="C42" s="295"/>
      <c r="D42" s="292"/>
      <c r="E42" s="292"/>
      <c r="F42" s="295"/>
      <c r="G42" s="295"/>
      <c r="H42" s="295"/>
      <c r="I42" s="295"/>
      <c r="J42" s="295"/>
      <c r="K42" s="295"/>
      <c r="L42" s="295"/>
      <c r="M42" s="336"/>
      <c r="N42" s="110"/>
    </row>
    <row r="43" spans="1:14" s="146" customFormat="1" x14ac:dyDescent="0.2">
      <c r="A43" s="335" t="s">
        <v>42</v>
      </c>
      <c r="B43" s="290">
        <f>SUM(B36:M36)</f>
        <v>9</v>
      </c>
      <c r="C43" s="295">
        <v>7.4</v>
      </c>
      <c r="D43" s="292">
        <f>B43*C43</f>
        <v>66.600000000000009</v>
      </c>
      <c r="E43" s="292">
        <f>D43</f>
        <v>66.600000000000009</v>
      </c>
      <c r="F43" s="295"/>
      <c r="G43" s="295"/>
      <c r="H43" s="295"/>
      <c r="I43" s="295"/>
      <c r="J43" s="295"/>
      <c r="K43" s="295"/>
      <c r="L43" s="295"/>
      <c r="M43" s="336"/>
      <c r="N43" s="110"/>
    </row>
    <row r="44" spans="1:14" s="146" customFormat="1" x14ac:dyDescent="0.2">
      <c r="A44" s="335" t="s">
        <v>43</v>
      </c>
      <c r="B44" s="293">
        <f>SUM(B37:M37)-1</f>
        <v>226</v>
      </c>
      <c r="C44" s="295"/>
      <c r="D44" s="292"/>
      <c r="E44" s="292"/>
      <c r="F44" s="295"/>
      <c r="G44" s="295"/>
      <c r="H44" s="295"/>
      <c r="I44" s="295"/>
      <c r="J44" s="295"/>
      <c r="K44" s="295"/>
      <c r="L44" s="295"/>
      <c r="M44" s="336"/>
      <c r="N44" s="110"/>
    </row>
    <row r="45" spans="1:14" s="146" customFormat="1" x14ac:dyDescent="0.2">
      <c r="A45" s="335" t="s">
        <v>46</v>
      </c>
      <c r="B45" s="290">
        <f>SUM(B39:M39)</f>
        <v>25</v>
      </c>
      <c r="C45" s="295">
        <v>7.4</v>
      </c>
      <c r="D45" s="292">
        <f>B45*C45</f>
        <v>185</v>
      </c>
      <c r="E45" s="292">
        <f>D45</f>
        <v>185</v>
      </c>
      <c r="F45" s="295"/>
      <c r="G45" s="295"/>
      <c r="H45" s="295"/>
      <c r="I45" s="295"/>
      <c r="J45" s="295"/>
      <c r="K45" s="295"/>
      <c r="L45" s="295"/>
      <c r="M45" s="336"/>
      <c r="N45" s="110"/>
    </row>
    <row r="46" spans="1:14" s="146" customFormat="1" x14ac:dyDescent="0.2">
      <c r="A46" s="335" t="s">
        <v>47</v>
      </c>
      <c r="B46" s="290">
        <v>5</v>
      </c>
      <c r="C46" s="295">
        <v>7.4</v>
      </c>
      <c r="D46" s="292">
        <f>B46*C46</f>
        <v>37</v>
      </c>
      <c r="E46" s="292"/>
      <c r="F46" s="295"/>
      <c r="G46" s="295"/>
      <c r="H46" s="295"/>
      <c r="I46" s="295"/>
      <c r="J46" s="295"/>
      <c r="K46" s="295"/>
      <c r="L46" s="295"/>
      <c r="M46" s="336"/>
      <c r="N46" s="110"/>
    </row>
    <row r="47" spans="1:14" s="146" customFormat="1" ht="16.5" thickBot="1" x14ac:dyDescent="0.3">
      <c r="A47" s="337" t="s">
        <v>44</v>
      </c>
      <c r="B47" s="338">
        <f>SUM(B38:M38)</f>
        <v>200</v>
      </c>
      <c r="C47" s="339"/>
      <c r="D47" s="294">
        <f>D41-D43-D45-D46</f>
        <v>1635.4</v>
      </c>
      <c r="E47" s="294">
        <f>E41-E43-E45-E46</f>
        <v>1672.4</v>
      </c>
      <c r="F47" s="339"/>
      <c r="G47" s="339"/>
      <c r="H47" s="339"/>
      <c r="I47" s="339"/>
      <c r="J47" s="339"/>
      <c r="K47" s="339"/>
      <c r="L47" s="339"/>
      <c r="M47" s="340"/>
      <c r="N47" s="110"/>
    </row>
    <row r="48" spans="1:14" s="146" customFormat="1" ht="15.75" thickBot="1" x14ac:dyDescent="0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s="287" customFormat="1" ht="15.75" thickBot="1" x14ac:dyDescent="0.25">
      <c r="A49" s="297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9"/>
      <c r="N49" s="110"/>
    </row>
    <row r="50" spans="1:14" s="146" customFormat="1" ht="15.75" thickBot="1" x14ac:dyDescent="0.2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110"/>
    </row>
    <row r="51" spans="1:14" s="133" customFormat="1" ht="15.75" x14ac:dyDescent="0.25">
      <c r="A51" s="325" t="s">
        <v>90</v>
      </c>
      <c r="B51" s="326">
        <v>41122</v>
      </c>
      <c r="C51" s="326">
        <v>41153</v>
      </c>
      <c r="D51" s="326">
        <v>41183</v>
      </c>
      <c r="E51" s="326">
        <v>41214</v>
      </c>
      <c r="F51" s="326">
        <v>41244</v>
      </c>
      <c r="G51" s="326">
        <v>41275</v>
      </c>
      <c r="H51" s="326">
        <v>41306</v>
      </c>
      <c r="I51" s="326">
        <v>41334</v>
      </c>
      <c r="J51" s="326">
        <v>41365</v>
      </c>
      <c r="K51" s="326">
        <v>41395</v>
      </c>
      <c r="L51" s="326">
        <v>41426</v>
      </c>
      <c r="M51" s="327">
        <v>41456</v>
      </c>
      <c r="N51" s="110"/>
    </row>
    <row r="52" spans="1:14" s="133" customFormat="1" x14ac:dyDescent="0.2">
      <c r="A52" s="328" t="s">
        <v>40</v>
      </c>
      <c r="B52" s="288">
        <v>31</v>
      </c>
      <c r="C52" s="288">
        <v>30</v>
      </c>
      <c r="D52" s="288">
        <v>31</v>
      </c>
      <c r="E52" s="288">
        <v>30</v>
      </c>
      <c r="F52" s="288">
        <v>31</v>
      </c>
      <c r="G52" s="288">
        <v>31</v>
      </c>
      <c r="H52" s="288">
        <v>28</v>
      </c>
      <c r="I52" s="288">
        <v>31</v>
      </c>
      <c r="J52" s="288">
        <v>30</v>
      </c>
      <c r="K52" s="288">
        <v>31</v>
      </c>
      <c r="L52" s="288">
        <v>30</v>
      </c>
      <c r="M52" s="329">
        <v>31</v>
      </c>
      <c r="N52" s="110"/>
    </row>
    <row r="53" spans="1:14" s="133" customFormat="1" x14ac:dyDescent="0.2">
      <c r="A53" s="328" t="s">
        <v>41</v>
      </c>
      <c r="B53" s="288">
        <v>8</v>
      </c>
      <c r="C53" s="288">
        <v>10</v>
      </c>
      <c r="D53" s="288">
        <v>8</v>
      </c>
      <c r="E53" s="288">
        <v>8</v>
      </c>
      <c r="F53" s="288">
        <v>10</v>
      </c>
      <c r="G53" s="288">
        <v>8</v>
      </c>
      <c r="H53" s="288">
        <v>8</v>
      </c>
      <c r="I53" s="288">
        <v>10</v>
      </c>
      <c r="J53" s="288">
        <v>8</v>
      </c>
      <c r="K53" s="288">
        <v>8</v>
      </c>
      <c r="L53" s="288">
        <v>10</v>
      </c>
      <c r="M53" s="329">
        <v>10</v>
      </c>
      <c r="N53" s="110"/>
    </row>
    <row r="54" spans="1:14" s="133" customFormat="1" x14ac:dyDescent="0.2">
      <c r="A54" s="328" t="s">
        <v>42</v>
      </c>
      <c r="B54" s="288">
        <v>0</v>
      </c>
      <c r="C54" s="288">
        <v>0</v>
      </c>
      <c r="D54" s="288">
        <v>0</v>
      </c>
      <c r="E54" s="288">
        <v>0</v>
      </c>
      <c r="F54" s="288">
        <v>2</v>
      </c>
      <c r="G54" s="288">
        <v>1</v>
      </c>
      <c r="H54" s="288">
        <v>0</v>
      </c>
      <c r="I54" s="288">
        <v>2</v>
      </c>
      <c r="J54" s="288">
        <v>2</v>
      </c>
      <c r="K54" s="288">
        <v>2</v>
      </c>
      <c r="L54" s="288">
        <v>0</v>
      </c>
      <c r="M54" s="329">
        <v>0</v>
      </c>
      <c r="N54" s="110"/>
    </row>
    <row r="55" spans="1:14" s="133" customFormat="1" x14ac:dyDescent="0.2">
      <c r="A55" s="328" t="s">
        <v>43</v>
      </c>
      <c r="B55" s="288">
        <f t="shared" ref="B55:M55" si="3">B52-B53-B54-B57</f>
        <v>23</v>
      </c>
      <c r="C55" s="288">
        <f t="shared" si="3"/>
        <v>20</v>
      </c>
      <c r="D55" s="288">
        <f t="shared" si="3"/>
        <v>18</v>
      </c>
      <c r="E55" s="288">
        <f t="shared" si="3"/>
        <v>22</v>
      </c>
      <c r="F55" s="288">
        <f t="shared" si="3"/>
        <v>19</v>
      </c>
      <c r="G55" s="288">
        <f t="shared" si="3"/>
        <v>22</v>
      </c>
      <c r="H55" s="288">
        <f t="shared" si="3"/>
        <v>20</v>
      </c>
      <c r="I55" s="288">
        <f t="shared" si="3"/>
        <v>19</v>
      </c>
      <c r="J55" s="288">
        <f t="shared" si="3"/>
        <v>20</v>
      </c>
      <c r="K55" s="288">
        <f t="shared" si="3"/>
        <v>21</v>
      </c>
      <c r="L55" s="288">
        <f t="shared" si="3"/>
        <v>20</v>
      </c>
      <c r="M55" s="329">
        <f t="shared" si="3"/>
        <v>1</v>
      </c>
      <c r="N55" s="110"/>
    </row>
    <row r="56" spans="1:14" s="133" customFormat="1" x14ac:dyDescent="0.2">
      <c r="A56" s="330" t="s">
        <v>44</v>
      </c>
      <c r="B56" s="289">
        <v>15</v>
      </c>
      <c r="C56" s="289">
        <f>C55</f>
        <v>20</v>
      </c>
      <c r="D56" s="289">
        <f>D55</f>
        <v>18</v>
      </c>
      <c r="E56" s="289">
        <v>22</v>
      </c>
      <c r="F56" s="289">
        <v>15</v>
      </c>
      <c r="G56" s="289">
        <f>G55</f>
        <v>22</v>
      </c>
      <c r="H56" s="289">
        <v>15</v>
      </c>
      <c r="I56" s="289">
        <v>16</v>
      </c>
      <c r="J56" s="289">
        <f>J55</f>
        <v>20</v>
      </c>
      <c r="K56" s="289">
        <v>18</v>
      </c>
      <c r="L56" s="289">
        <v>19</v>
      </c>
      <c r="M56" s="331">
        <v>0</v>
      </c>
      <c r="N56" s="110"/>
    </row>
    <row r="57" spans="1:14" s="133" customFormat="1" x14ac:dyDescent="0.2">
      <c r="A57" s="328" t="s">
        <v>46</v>
      </c>
      <c r="B57" s="288">
        <v>0</v>
      </c>
      <c r="C57" s="288">
        <v>0</v>
      </c>
      <c r="D57" s="288">
        <v>5</v>
      </c>
      <c r="E57" s="288">
        <v>0</v>
      </c>
      <c r="F57" s="288">
        <v>0</v>
      </c>
      <c r="G57" s="288">
        <v>0</v>
      </c>
      <c r="H57" s="288">
        <v>0</v>
      </c>
      <c r="I57" s="288">
        <v>0</v>
      </c>
      <c r="J57" s="288">
        <v>0</v>
      </c>
      <c r="K57" s="288">
        <v>0</v>
      </c>
      <c r="L57" s="288">
        <v>0</v>
      </c>
      <c r="M57" s="329">
        <v>20</v>
      </c>
      <c r="N57" s="110"/>
    </row>
    <row r="58" spans="1:14" s="133" customFormat="1" ht="15.75" thickBot="1" x14ac:dyDescent="0.25">
      <c r="A58" s="332"/>
      <c r="B58" s="295"/>
      <c r="C58" s="295"/>
      <c r="D58" s="295"/>
      <c r="E58" s="295"/>
      <c r="F58" s="295"/>
      <c r="G58" s="333" t="s">
        <v>88</v>
      </c>
      <c r="H58" s="333"/>
      <c r="I58" s="333"/>
      <c r="J58" s="333"/>
      <c r="K58" s="333"/>
      <c r="L58" s="333"/>
      <c r="M58" s="334"/>
      <c r="N58" s="110"/>
    </row>
    <row r="59" spans="1:14" s="133" customFormat="1" x14ac:dyDescent="0.2">
      <c r="A59" s="335" t="s">
        <v>40</v>
      </c>
      <c r="B59" s="290">
        <f>SUM(B52:M52)</f>
        <v>365</v>
      </c>
      <c r="C59" s="295"/>
      <c r="D59" s="291">
        <v>1924</v>
      </c>
      <c r="E59" s="291">
        <f>D59</f>
        <v>1924</v>
      </c>
      <c r="F59" s="295"/>
      <c r="G59" s="333" t="s">
        <v>89</v>
      </c>
      <c r="H59" s="333"/>
      <c r="I59" s="333"/>
      <c r="J59" s="333"/>
      <c r="K59" s="333"/>
      <c r="L59" s="333"/>
      <c r="M59" s="334"/>
      <c r="N59" s="110"/>
    </row>
    <row r="60" spans="1:14" s="133" customFormat="1" x14ac:dyDescent="0.2">
      <c r="A60" s="335" t="s">
        <v>41</v>
      </c>
      <c r="B60" s="290">
        <f>SUM(B53:M53)</f>
        <v>106</v>
      </c>
      <c r="C60" s="295"/>
      <c r="D60" s="292"/>
      <c r="E60" s="292"/>
      <c r="F60" s="295"/>
      <c r="G60" s="295"/>
      <c r="H60" s="295"/>
      <c r="I60" s="295"/>
      <c r="J60" s="295"/>
      <c r="K60" s="295"/>
      <c r="L60" s="295"/>
      <c r="M60" s="336"/>
      <c r="N60" s="110"/>
    </row>
    <row r="61" spans="1:14" s="133" customFormat="1" x14ac:dyDescent="0.2">
      <c r="A61" s="335" t="s">
        <v>42</v>
      </c>
      <c r="B61" s="290">
        <f>SUM(B54:M54)</f>
        <v>9</v>
      </c>
      <c r="C61" s="295">
        <v>7.4</v>
      </c>
      <c r="D61" s="292">
        <f>B61*C61</f>
        <v>66.600000000000009</v>
      </c>
      <c r="E61" s="292">
        <f>D61</f>
        <v>66.600000000000009</v>
      </c>
      <c r="F61" s="295"/>
      <c r="G61" s="295"/>
      <c r="H61" s="295"/>
      <c r="I61" s="295"/>
      <c r="J61" s="295"/>
      <c r="K61" s="295"/>
      <c r="L61" s="295"/>
      <c r="M61" s="336"/>
      <c r="N61" s="110"/>
    </row>
    <row r="62" spans="1:14" s="133" customFormat="1" x14ac:dyDescent="0.2">
      <c r="A62" s="335" t="s">
        <v>43</v>
      </c>
      <c r="B62" s="293">
        <f>SUM(B55:M55)-1</f>
        <v>224</v>
      </c>
      <c r="C62" s="295"/>
      <c r="D62" s="292"/>
      <c r="E62" s="292"/>
      <c r="F62" s="295"/>
      <c r="G62" s="295"/>
      <c r="H62" s="295"/>
      <c r="I62" s="295"/>
      <c r="J62" s="295"/>
      <c r="K62" s="295"/>
      <c r="L62" s="295"/>
      <c r="M62" s="336"/>
      <c r="N62" s="110"/>
    </row>
    <row r="63" spans="1:14" s="133" customFormat="1" x14ac:dyDescent="0.2">
      <c r="A63" s="335" t="s">
        <v>46</v>
      </c>
      <c r="B63" s="290">
        <f>SUM(B57:M57)</f>
        <v>25</v>
      </c>
      <c r="C63" s="295">
        <v>7.4</v>
      </c>
      <c r="D63" s="292">
        <f>B63*C63</f>
        <v>185</v>
      </c>
      <c r="E63" s="292">
        <f>D63</f>
        <v>185</v>
      </c>
      <c r="F63" s="295"/>
      <c r="G63" s="295"/>
      <c r="H63" s="295"/>
      <c r="I63" s="295"/>
      <c r="J63" s="295"/>
      <c r="K63" s="295"/>
      <c r="L63" s="295"/>
      <c r="M63" s="336"/>
      <c r="N63" s="110"/>
    </row>
    <row r="64" spans="1:14" s="133" customFormat="1" x14ac:dyDescent="0.2">
      <c r="A64" s="335" t="s">
        <v>47</v>
      </c>
      <c r="B64" s="290">
        <v>5</v>
      </c>
      <c r="C64" s="295">
        <v>7.4</v>
      </c>
      <c r="D64" s="292">
        <f>B64*C64</f>
        <v>37</v>
      </c>
      <c r="E64" s="292"/>
      <c r="F64" s="295"/>
      <c r="G64" s="295"/>
      <c r="H64" s="295"/>
      <c r="I64" s="295"/>
      <c r="J64" s="295"/>
      <c r="K64" s="295"/>
      <c r="L64" s="295"/>
      <c r="M64" s="336"/>
      <c r="N64" s="110"/>
    </row>
    <row r="65" spans="1:14" s="133" customFormat="1" ht="16.5" thickBot="1" x14ac:dyDescent="0.3">
      <c r="A65" s="337" t="s">
        <v>44</v>
      </c>
      <c r="B65" s="338">
        <f>SUM(B56:M56)</f>
        <v>200</v>
      </c>
      <c r="C65" s="339"/>
      <c r="D65" s="294">
        <f>D59-D61-D63-D64</f>
        <v>1635.4</v>
      </c>
      <c r="E65" s="294">
        <f>E59-E61-E63-E64</f>
        <v>1672.4</v>
      </c>
      <c r="F65" s="339"/>
      <c r="G65" s="339"/>
      <c r="H65" s="339"/>
      <c r="I65" s="339"/>
      <c r="J65" s="339"/>
      <c r="K65" s="339"/>
      <c r="L65" s="339"/>
      <c r="M65" s="340"/>
      <c r="N65" s="110"/>
    </row>
    <row r="66" spans="1:14" s="133" customFormat="1" x14ac:dyDescent="0.2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s="133" customFormat="1" ht="15.75" thickBot="1" x14ac:dyDescent="0.25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110"/>
    </row>
    <row r="68" spans="1:14" ht="15.75" x14ac:dyDescent="0.25">
      <c r="A68" s="325" t="s">
        <v>91</v>
      </c>
      <c r="B68" s="326">
        <v>40756</v>
      </c>
      <c r="C68" s="326">
        <v>40787</v>
      </c>
      <c r="D68" s="326">
        <v>40817</v>
      </c>
      <c r="E68" s="326">
        <v>40848</v>
      </c>
      <c r="F68" s="326">
        <v>40878</v>
      </c>
      <c r="G68" s="326">
        <v>40909</v>
      </c>
      <c r="H68" s="326">
        <v>40940</v>
      </c>
      <c r="I68" s="326">
        <v>40969</v>
      </c>
      <c r="J68" s="326">
        <v>41000</v>
      </c>
      <c r="K68" s="326">
        <v>41030</v>
      </c>
      <c r="L68" s="326">
        <v>41061</v>
      </c>
      <c r="M68" s="327">
        <v>41091</v>
      </c>
      <c r="N68" s="110"/>
    </row>
    <row r="69" spans="1:14" x14ac:dyDescent="0.2">
      <c r="A69" s="328" t="s">
        <v>40</v>
      </c>
      <c r="B69" s="288">
        <v>31</v>
      </c>
      <c r="C69" s="288">
        <v>30</v>
      </c>
      <c r="D69" s="288">
        <v>31</v>
      </c>
      <c r="E69" s="288">
        <v>30</v>
      </c>
      <c r="F69" s="288">
        <v>31</v>
      </c>
      <c r="G69" s="288">
        <v>31</v>
      </c>
      <c r="H69" s="288">
        <v>29</v>
      </c>
      <c r="I69" s="288">
        <v>31</v>
      </c>
      <c r="J69" s="288">
        <v>30</v>
      </c>
      <c r="K69" s="288">
        <v>31</v>
      </c>
      <c r="L69" s="288">
        <v>30</v>
      </c>
      <c r="M69" s="329">
        <v>31</v>
      </c>
      <c r="N69" s="110"/>
    </row>
    <row r="70" spans="1:14" x14ac:dyDescent="0.2">
      <c r="A70" s="328" t="s">
        <v>41</v>
      </c>
      <c r="B70" s="288">
        <v>8</v>
      </c>
      <c r="C70" s="288">
        <v>8</v>
      </c>
      <c r="D70" s="288">
        <v>10</v>
      </c>
      <c r="E70" s="288">
        <v>8</v>
      </c>
      <c r="F70" s="288">
        <v>9</v>
      </c>
      <c r="G70" s="288">
        <v>9</v>
      </c>
      <c r="H70" s="288">
        <v>8</v>
      </c>
      <c r="I70" s="288">
        <v>9</v>
      </c>
      <c r="J70" s="288">
        <v>9</v>
      </c>
      <c r="K70" s="288">
        <v>8</v>
      </c>
      <c r="L70" s="288">
        <v>9</v>
      </c>
      <c r="M70" s="329">
        <v>10</v>
      </c>
      <c r="N70" s="110"/>
    </row>
    <row r="71" spans="1:14" x14ac:dyDescent="0.2">
      <c r="A71" s="328" t="s">
        <v>42</v>
      </c>
      <c r="B71" s="288">
        <v>0</v>
      </c>
      <c r="C71" s="288">
        <v>0</v>
      </c>
      <c r="D71" s="288">
        <v>0</v>
      </c>
      <c r="E71" s="288">
        <v>0</v>
      </c>
      <c r="F71" s="288">
        <v>1</v>
      </c>
      <c r="G71" s="288">
        <v>0</v>
      </c>
      <c r="H71" s="288">
        <v>0</v>
      </c>
      <c r="I71" s="288">
        <v>0</v>
      </c>
      <c r="J71" s="288">
        <v>3</v>
      </c>
      <c r="K71" s="288">
        <v>3</v>
      </c>
      <c r="L71" s="288">
        <v>0</v>
      </c>
      <c r="M71" s="329">
        <v>0</v>
      </c>
      <c r="N71" s="110"/>
    </row>
    <row r="72" spans="1:14" x14ac:dyDescent="0.2">
      <c r="A72" s="328" t="s">
        <v>43</v>
      </c>
      <c r="B72" s="288">
        <f t="shared" ref="B72:M72" si="4">B69-B70-B71-B74</f>
        <v>23</v>
      </c>
      <c r="C72" s="288">
        <f t="shared" si="4"/>
        <v>22</v>
      </c>
      <c r="D72" s="288">
        <f t="shared" si="4"/>
        <v>16</v>
      </c>
      <c r="E72" s="288">
        <f t="shared" si="4"/>
        <v>22</v>
      </c>
      <c r="F72" s="288">
        <f t="shared" si="4"/>
        <v>21</v>
      </c>
      <c r="G72" s="288">
        <f t="shared" si="4"/>
        <v>22</v>
      </c>
      <c r="H72" s="288">
        <f t="shared" si="4"/>
        <v>21</v>
      </c>
      <c r="I72" s="288">
        <f t="shared" si="4"/>
        <v>22</v>
      </c>
      <c r="J72" s="288">
        <f t="shared" si="4"/>
        <v>18</v>
      </c>
      <c r="K72" s="288">
        <f t="shared" si="4"/>
        <v>20</v>
      </c>
      <c r="L72" s="288">
        <f t="shared" si="4"/>
        <v>21</v>
      </c>
      <c r="M72" s="329">
        <f t="shared" si="4"/>
        <v>1</v>
      </c>
      <c r="N72" s="110"/>
    </row>
    <row r="73" spans="1:14" x14ac:dyDescent="0.2">
      <c r="A73" s="330" t="s">
        <v>44</v>
      </c>
      <c r="B73" s="289">
        <v>16</v>
      </c>
      <c r="C73" s="289">
        <v>22</v>
      </c>
      <c r="D73" s="289">
        <v>16</v>
      </c>
      <c r="E73" s="289">
        <v>22</v>
      </c>
      <c r="F73" s="289">
        <v>13</v>
      </c>
      <c r="G73" s="289">
        <v>22</v>
      </c>
      <c r="H73" s="289">
        <v>16</v>
      </c>
      <c r="I73" s="289">
        <v>22</v>
      </c>
      <c r="J73" s="289">
        <v>15</v>
      </c>
      <c r="K73" s="289">
        <v>17</v>
      </c>
      <c r="L73" s="289">
        <v>19</v>
      </c>
      <c r="M73" s="331">
        <v>0</v>
      </c>
      <c r="N73" s="110"/>
    </row>
    <row r="74" spans="1:14" x14ac:dyDescent="0.2">
      <c r="A74" s="328" t="s">
        <v>46</v>
      </c>
      <c r="B74" s="288">
        <v>0</v>
      </c>
      <c r="C74" s="288">
        <v>0</v>
      </c>
      <c r="D74" s="288">
        <v>5</v>
      </c>
      <c r="E74" s="288">
        <v>0</v>
      </c>
      <c r="F74" s="288">
        <v>0</v>
      </c>
      <c r="G74" s="288">
        <v>0</v>
      </c>
      <c r="H74" s="288">
        <v>0</v>
      </c>
      <c r="I74" s="288">
        <v>0</v>
      </c>
      <c r="J74" s="288">
        <v>0</v>
      </c>
      <c r="K74" s="288">
        <v>0</v>
      </c>
      <c r="L74" s="288">
        <v>0</v>
      </c>
      <c r="M74" s="329">
        <v>20</v>
      </c>
      <c r="N74" s="110"/>
    </row>
    <row r="75" spans="1:14" ht="15.75" thickBot="1" x14ac:dyDescent="0.25">
      <c r="A75" s="332"/>
      <c r="B75" s="295"/>
      <c r="C75" s="295"/>
      <c r="D75" s="295"/>
      <c r="E75" s="295"/>
      <c r="F75" s="295"/>
      <c r="G75" s="333" t="s">
        <v>88</v>
      </c>
      <c r="H75" s="333"/>
      <c r="I75" s="333"/>
      <c r="J75" s="333"/>
      <c r="K75" s="333"/>
      <c r="L75" s="333"/>
      <c r="M75" s="334"/>
      <c r="N75" s="110"/>
    </row>
    <row r="76" spans="1:14" x14ac:dyDescent="0.2">
      <c r="A76" s="335" t="s">
        <v>40</v>
      </c>
      <c r="B76" s="290">
        <f>SUM(B69:M69)</f>
        <v>366</v>
      </c>
      <c r="C76" s="295"/>
      <c r="D76" s="291">
        <v>1924</v>
      </c>
      <c r="E76" s="291">
        <f>D76</f>
        <v>1924</v>
      </c>
      <c r="F76" s="295"/>
      <c r="G76" s="333" t="s">
        <v>89</v>
      </c>
      <c r="H76" s="333"/>
      <c r="I76" s="333"/>
      <c r="J76" s="333"/>
      <c r="K76" s="333"/>
      <c r="L76" s="333"/>
      <c r="M76" s="334"/>
      <c r="N76" s="110"/>
    </row>
    <row r="77" spans="1:14" x14ac:dyDescent="0.2">
      <c r="A77" s="335" t="s">
        <v>41</v>
      </c>
      <c r="B77" s="290">
        <f>SUM(B70:M70)</f>
        <v>105</v>
      </c>
      <c r="C77" s="295"/>
      <c r="D77" s="292"/>
      <c r="E77" s="292"/>
      <c r="F77" s="295"/>
      <c r="G77" s="295"/>
      <c r="H77" s="295"/>
      <c r="I77" s="295"/>
      <c r="J77" s="295"/>
      <c r="K77" s="295"/>
      <c r="L77" s="295"/>
      <c r="M77" s="336"/>
      <c r="N77" s="110"/>
    </row>
    <row r="78" spans="1:14" x14ac:dyDescent="0.2">
      <c r="A78" s="335" t="s">
        <v>42</v>
      </c>
      <c r="B78" s="290">
        <f>SUM(B71:M71)</f>
        <v>7</v>
      </c>
      <c r="C78" s="295">
        <v>7.4</v>
      </c>
      <c r="D78" s="292">
        <f>B78*C78</f>
        <v>51.800000000000004</v>
      </c>
      <c r="E78" s="292">
        <f>D78</f>
        <v>51.800000000000004</v>
      </c>
      <c r="F78" s="295"/>
      <c r="G78" s="295"/>
      <c r="H78" s="295"/>
      <c r="I78" s="295"/>
      <c r="J78" s="295"/>
      <c r="K78" s="295"/>
      <c r="L78" s="295"/>
      <c r="M78" s="336"/>
      <c r="N78" s="110"/>
    </row>
    <row r="79" spans="1:14" x14ac:dyDescent="0.2">
      <c r="A79" s="335" t="s">
        <v>43</v>
      </c>
      <c r="B79" s="293">
        <f>SUM(B72:M72)-1</f>
        <v>228</v>
      </c>
      <c r="C79" s="295"/>
      <c r="D79" s="292"/>
      <c r="E79" s="292"/>
      <c r="F79" s="295"/>
      <c r="G79" s="295"/>
      <c r="H79" s="295"/>
      <c r="I79" s="295"/>
      <c r="J79" s="295"/>
      <c r="K79" s="295"/>
      <c r="L79" s="295"/>
      <c r="M79" s="336"/>
      <c r="N79" s="110"/>
    </row>
    <row r="80" spans="1:14" x14ac:dyDescent="0.2">
      <c r="A80" s="335" t="s">
        <v>46</v>
      </c>
      <c r="B80" s="290">
        <f>SUM(B74:M74)</f>
        <v>25</v>
      </c>
      <c r="C80" s="295">
        <v>7.4</v>
      </c>
      <c r="D80" s="292">
        <f>B80*C80</f>
        <v>185</v>
      </c>
      <c r="E80" s="292">
        <f>D80</f>
        <v>185</v>
      </c>
      <c r="F80" s="295"/>
      <c r="G80" s="295"/>
      <c r="H80" s="295"/>
      <c r="I80" s="295"/>
      <c r="J80" s="295"/>
      <c r="K80" s="295"/>
      <c r="L80" s="295"/>
      <c r="M80" s="336"/>
      <c r="N80" s="110"/>
    </row>
    <row r="81" spans="1:14" x14ac:dyDescent="0.2">
      <c r="A81" s="335" t="s">
        <v>47</v>
      </c>
      <c r="B81" s="290">
        <v>5</v>
      </c>
      <c r="C81" s="295">
        <v>6.8</v>
      </c>
      <c r="D81" s="292">
        <f>B81*C81</f>
        <v>34</v>
      </c>
      <c r="E81" s="292"/>
      <c r="F81" s="295"/>
      <c r="G81" s="295"/>
      <c r="H81" s="295"/>
      <c r="I81" s="295"/>
      <c r="J81" s="295"/>
      <c r="K81" s="295"/>
      <c r="L81" s="295"/>
      <c r="M81" s="336"/>
      <c r="N81" s="110"/>
    </row>
    <row r="82" spans="1:14" ht="16.5" thickBot="1" x14ac:dyDescent="0.3">
      <c r="A82" s="337" t="s">
        <v>44</v>
      </c>
      <c r="B82" s="338">
        <f>SUM(B73:M73)</f>
        <v>200</v>
      </c>
      <c r="C82" s="339"/>
      <c r="D82" s="294">
        <f>D76-D78-D80-D81</f>
        <v>1653.2</v>
      </c>
      <c r="E82" s="294">
        <f>E76-E78-E80-E81</f>
        <v>1687.2</v>
      </c>
      <c r="F82" s="339"/>
      <c r="G82" s="339"/>
      <c r="H82" s="339"/>
      <c r="I82" s="339"/>
      <c r="J82" s="339"/>
      <c r="K82" s="339"/>
      <c r="L82" s="339"/>
      <c r="M82" s="340"/>
      <c r="N82" s="110"/>
    </row>
    <row r="83" spans="1:14" x14ac:dyDescent="0.2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1:14" s="146" customFormat="1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x14ac:dyDescent="0.2">
      <c r="A85" s="110"/>
      <c r="B85" s="296">
        <v>40391</v>
      </c>
      <c r="C85" s="296">
        <v>40422</v>
      </c>
      <c r="D85" s="296">
        <v>40452</v>
      </c>
      <c r="E85" s="296">
        <v>40483</v>
      </c>
      <c r="F85" s="296">
        <v>40513</v>
      </c>
      <c r="G85" s="296">
        <v>40544</v>
      </c>
      <c r="H85" s="296">
        <v>40575</v>
      </c>
      <c r="I85" s="296">
        <v>40603</v>
      </c>
      <c r="J85" s="296">
        <v>40634</v>
      </c>
      <c r="K85" s="296">
        <v>40664</v>
      </c>
      <c r="L85" s="296">
        <v>40695</v>
      </c>
      <c r="M85" s="296">
        <v>40725</v>
      </c>
      <c r="N85" s="110"/>
    </row>
    <row r="86" spans="1:14" x14ac:dyDescent="0.2">
      <c r="A86" s="290" t="s">
        <v>40</v>
      </c>
      <c r="B86" s="290">
        <v>31</v>
      </c>
      <c r="C86" s="290">
        <v>30</v>
      </c>
      <c r="D86" s="290">
        <v>31</v>
      </c>
      <c r="E86" s="290">
        <v>30</v>
      </c>
      <c r="F86" s="290">
        <v>31</v>
      </c>
      <c r="G86" s="290">
        <v>31</v>
      </c>
      <c r="H86" s="290">
        <v>28</v>
      </c>
      <c r="I86" s="290">
        <v>31</v>
      </c>
      <c r="J86" s="290">
        <v>30</v>
      </c>
      <c r="K86" s="290">
        <v>31</v>
      </c>
      <c r="L86" s="290">
        <v>30</v>
      </c>
      <c r="M86" s="290">
        <v>31</v>
      </c>
      <c r="N86" s="110"/>
    </row>
    <row r="87" spans="1:14" x14ac:dyDescent="0.2">
      <c r="A87" s="290" t="s">
        <v>41</v>
      </c>
      <c r="B87" s="290">
        <v>9</v>
      </c>
      <c r="C87" s="290">
        <v>8</v>
      </c>
      <c r="D87" s="290">
        <v>10</v>
      </c>
      <c r="E87" s="290">
        <v>8</v>
      </c>
      <c r="F87" s="290">
        <v>8</v>
      </c>
      <c r="G87" s="290">
        <v>10</v>
      </c>
      <c r="H87" s="290">
        <v>8</v>
      </c>
      <c r="I87" s="290">
        <v>8</v>
      </c>
      <c r="J87" s="290">
        <v>9</v>
      </c>
      <c r="K87" s="290">
        <v>9</v>
      </c>
      <c r="L87" s="290">
        <v>8</v>
      </c>
      <c r="M87" s="290">
        <v>10</v>
      </c>
      <c r="N87" s="110"/>
    </row>
    <row r="88" spans="1:14" x14ac:dyDescent="0.2">
      <c r="A88" s="290" t="s">
        <v>42</v>
      </c>
      <c r="B88" s="290">
        <v>0</v>
      </c>
      <c r="C88" s="290">
        <v>0</v>
      </c>
      <c r="D88" s="290">
        <v>0</v>
      </c>
      <c r="E88" s="290">
        <v>0</v>
      </c>
      <c r="F88" s="290">
        <v>0</v>
      </c>
      <c r="G88" s="290">
        <v>0</v>
      </c>
      <c r="H88" s="290">
        <v>0</v>
      </c>
      <c r="I88" s="290">
        <v>0</v>
      </c>
      <c r="J88" s="290">
        <v>3</v>
      </c>
      <c r="K88" s="290">
        <v>1</v>
      </c>
      <c r="L88" s="290">
        <v>2</v>
      </c>
      <c r="M88" s="290">
        <v>0</v>
      </c>
      <c r="N88" s="110"/>
    </row>
    <row r="89" spans="1:14" x14ac:dyDescent="0.2">
      <c r="A89" s="290" t="s">
        <v>43</v>
      </c>
      <c r="B89" s="290">
        <f t="shared" ref="B89:M89" si="5">B86-B87-B88-B91</f>
        <v>22</v>
      </c>
      <c r="C89" s="290">
        <f t="shared" si="5"/>
        <v>22</v>
      </c>
      <c r="D89" s="290">
        <f t="shared" si="5"/>
        <v>16</v>
      </c>
      <c r="E89" s="290">
        <f t="shared" si="5"/>
        <v>22</v>
      </c>
      <c r="F89" s="290">
        <f t="shared" si="5"/>
        <v>23</v>
      </c>
      <c r="G89" s="290">
        <f t="shared" si="5"/>
        <v>21</v>
      </c>
      <c r="H89" s="290">
        <f t="shared" si="5"/>
        <v>20</v>
      </c>
      <c r="I89" s="290">
        <f t="shared" si="5"/>
        <v>23</v>
      </c>
      <c r="J89" s="290">
        <f t="shared" si="5"/>
        <v>18</v>
      </c>
      <c r="K89" s="290">
        <f t="shared" si="5"/>
        <v>21</v>
      </c>
      <c r="L89" s="290">
        <f t="shared" si="5"/>
        <v>20</v>
      </c>
      <c r="M89" s="290">
        <f t="shared" si="5"/>
        <v>1</v>
      </c>
      <c r="N89" s="110"/>
    </row>
    <row r="90" spans="1:14" x14ac:dyDescent="0.2">
      <c r="A90" s="290" t="s">
        <v>44</v>
      </c>
      <c r="B90" s="290">
        <v>13</v>
      </c>
      <c r="C90" s="290">
        <v>20</v>
      </c>
      <c r="D90" s="290">
        <v>18</v>
      </c>
      <c r="E90" s="290">
        <v>22</v>
      </c>
      <c r="F90" s="290">
        <v>15</v>
      </c>
      <c r="G90" s="290">
        <v>22</v>
      </c>
      <c r="H90" s="290">
        <v>16</v>
      </c>
      <c r="I90" s="290">
        <v>15</v>
      </c>
      <c r="J90" s="290">
        <v>21</v>
      </c>
      <c r="K90" s="290">
        <v>19</v>
      </c>
      <c r="L90" s="290">
        <v>19</v>
      </c>
      <c r="M90" s="290">
        <v>0</v>
      </c>
      <c r="N90" s="110"/>
    </row>
    <row r="91" spans="1:14" x14ac:dyDescent="0.2">
      <c r="A91" s="290" t="s">
        <v>46</v>
      </c>
      <c r="B91" s="290">
        <v>0</v>
      </c>
      <c r="C91" s="290">
        <v>0</v>
      </c>
      <c r="D91" s="290">
        <v>5</v>
      </c>
      <c r="E91" s="290">
        <v>0</v>
      </c>
      <c r="F91" s="290">
        <v>0</v>
      </c>
      <c r="G91" s="290">
        <v>0</v>
      </c>
      <c r="H91" s="290">
        <v>0</v>
      </c>
      <c r="I91" s="290">
        <v>0</v>
      </c>
      <c r="J91" s="290">
        <v>0</v>
      </c>
      <c r="K91" s="290">
        <v>0</v>
      </c>
      <c r="L91" s="290">
        <v>0</v>
      </c>
      <c r="M91" s="290">
        <v>20</v>
      </c>
      <c r="N91" s="110"/>
    </row>
    <row r="92" spans="1:14" ht="15.75" thickBot="1" x14ac:dyDescent="0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x14ac:dyDescent="0.2">
      <c r="A93" s="290" t="s">
        <v>40</v>
      </c>
      <c r="B93" s="290">
        <f>SUM(B86:M86)</f>
        <v>365</v>
      </c>
      <c r="C93" s="110"/>
      <c r="D93" s="291">
        <v>1924</v>
      </c>
      <c r="E93" s="291">
        <f>D93</f>
        <v>1924</v>
      </c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x14ac:dyDescent="0.2">
      <c r="A94" s="290" t="s">
        <v>41</v>
      </c>
      <c r="B94" s="290">
        <f>SUM(B87:M87)</f>
        <v>105</v>
      </c>
      <c r="C94" s="110"/>
      <c r="D94" s="292">
        <f>C95*B95</f>
        <v>44.400000000000006</v>
      </c>
      <c r="E94" s="292">
        <f>D94</f>
        <v>44.400000000000006</v>
      </c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x14ac:dyDescent="0.2">
      <c r="A95" s="290" t="s">
        <v>42</v>
      </c>
      <c r="B95" s="290">
        <f>SUM(B88:M88)</f>
        <v>6</v>
      </c>
      <c r="C95" s="110">
        <v>7.4</v>
      </c>
      <c r="D95" s="292"/>
      <c r="E95" s="292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x14ac:dyDescent="0.2">
      <c r="A96" s="290" t="s">
        <v>43</v>
      </c>
      <c r="B96" s="293">
        <f>SUM(B89:M89)-1</f>
        <v>228</v>
      </c>
      <c r="C96" s="110"/>
      <c r="D96" s="292"/>
      <c r="E96" s="292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x14ac:dyDescent="0.2">
      <c r="A97" s="290" t="s">
        <v>44</v>
      </c>
      <c r="B97" s="290">
        <f>SUM(B90:M90)</f>
        <v>200</v>
      </c>
      <c r="C97" s="110"/>
      <c r="D97" s="292">
        <f>C98*B98</f>
        <v>185</v>
      </c>
      <c r="E97" s="292">
        <f>D97</f>
        <v>185</v>
      </c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x14ac:dyDescent="0.2">
      <c r="A98" s="290" t="s">
        <v>46</v>
      </c>
      <c r="B98" s="290">
        <f>SUM(B91:M91)</f>
        <v>25</v>
      </c>
      <c r="C98" s="110">
        <f>C95</f>
        <v>7.4</v>
      </c>
      <c r="D98" s="292">
        <f>C99*B99</f>
        <v>37</v>
      </c>
      <c r="E98" s="292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ht="16.5" thickBot="1" x14ac:dyDescent="0.3">
      <c r="A99" s="290" t="s">
        <v>47</v>
      </c>
      <c r="B99" s="290">
        <v>5</v>
      </c>
      <c r="C99" s="110">
        <f>C98</f>
        <v>7.4</v>
      </c>
      <c r="D99" s="294">
        <f>D93-D94-D97-D98</f>
        <v>1657.6</v>
      </c>
      <c r="E99" s="294">
        <f>E93-E94-E97-E98</f>
        <v>1694.6</v>
      </c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x14ac:dyDescent="0.2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x14ac:dyDescent="0.2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x14ac:dyDescent="0.2">
      <c r="A102" s="110"/>
      <c r="B102" s="296">
        <v>40026</v>
      </c>
      <c r="C102" s="296">
        <v>40057</v>
      </c>
      <c r="D102" s="296">
        <v>40087</v>
      </c>
      <c r="E102" s="296">
        <v>40118</v>
      </c>
      <c r="F102" s="296">
        <v>40148</v>
      </c>
      <c r="G102" s="296">
        <v>40179</v>
      </c>
      <c r="H102" s="296">
        <v>40210</v>
      </c>
      <c r="I102" s="296">
        <v>40238</v>
      </c>
      <c r="J102" s="296">
        <v>40269</v>
      </c>
      <c r="K102" s="296">
        <v>40299</v>
      </c>
      <c r="L102" s="296">
        <v>40330</v>
      </c>
      <c r="M102" s="296">
        <v>40360</v>
      </c>
      <c r="N102" s="110"/>
    </row>
    <row r="103" spans="1:14" x14ac:dyDescent="0.2">
      <c r="A103" s="290" t="s">
        <v>40</v>
      </c>
      <c r="B103" s="290">
        <v>31</v>
      </c>
      <c r="C103" s="290">
        <v>30</v>
      </c>
      <c r="D103" s="290">
        <v>31</v>
      </c>
      <c r="E103" s="290">
        <v>30</v>
      </c>
      <c r="F103" s="290">
        <v>31</v>
      </c>
      <c r="G103" s="290">
        <v>31</v>
      </c>
      <c r="H103" s="290">
        <v>28</v>
      </c>
      <c r="I103" s="290">
        <v>31</v>
      </c>
      <c r="J103" s="290">
        <v>30</v>
      </c>
      <c r="K103" s="290">
        <v>31</v>
      </c>
      <c r="L103" s="290">
        <v>30</v>
      </c>
      <c r="M103" s="290">
        <v>31</v>
      </c>
      <c r="N103" s="110"/>
    </row>
    <row r="104" spans="1:14" x14ac:dyDescent="0.2">
      <c r="A104" s="290" t="s">
        <v>41</v>
      </c>
      <c r="B104" s="290">
        <v>10</v>
      </c>
      <c r="C104" s="290">
        <v>8</v>
      </c>
      <c r="D104" s="290">
        <v>9</v>
      </c>
      <c r="E104" s="290">
        <v>9</v>
      </c>
      <c r="F104" s="290">
        <v>8</v>
      </c>
      <c r="G104" s="290">
        <v>10</v>
      </c>
      <c r="H104" s="290">
        <v>8</v>
      </c>
      <c r="I104" s="290">
        <v>8</v>
      </c>
      <c r="J104" s="290">
        <v>8</v>
      </c>
      <c r="K104" s="290">
        <v>10</v>
      </c>
      <c r="L104" s="290">
        <v>8</v>
      </c>
      <c r="M104" s="290">
        <v>9</v>
      </c>
      <c r="N104" s="110"/>
    </row>
    <row r="105" spans="1:14" x14ac:dyDescent="0.2">
      <c r="A105" s="290" t="s">
        <v>42</v>
      </c>
      <c r="B105" s="290">
        <v>0</v>
      </c>
      <c r="C105" s="290">
        <v>0</v>
      </c>
      <c r="D105" s="290">
        <v>0</v>
      </c>
      <c r="E105" s="290">
        <v>0</v>
      </c>
      <c r="F105" s="290">
        <v>1</v>
      </c>
      <c r="G105" s="290">
        <v>1</v>
      </c>
      <c r="H105" s="290">
        <v>0</v>
      </c>
      <c r="I105" s="290">
        <v>3</v>
      </c>
      <c r="J105" s="290">
        <v>1</v>
      </c>
      <c r="K105" s="290">
        <v>2</v>
      </c>
      <c r="L105" s="290">
        <v>0</v>
      </c>
      <c r="M105" s="290">
        <v>0</v>
      </c>
      <c r="N105" s="110"/>
    </row>
    <row r="106" spans="1:14" x14ac:dyDescent="0.2">
      <c r="A106" s="290" t="s">
        <v>43</v>
      </c>
      <c r="B106" s="290">
        <f t="shared" ref="B106:M106" si="6">B103-B104-B105-B108</f>
        <v>21</v>
      </c>
      <c r="C106" s="290">
        <f t="shared" si="6"/>
        <v>22</v>
      </c>
      <c r="D106" s="290">
        <f t="shared" si="6"/>
        <v>17</v>
      </c>
      <c r="E106" s="290">
        <f t="shared" si="6"/>
        <v>21</v>
      </c>
      <c r="F106" s="290">
        <f t="shared" si="6"/>
        <v>22</v>
      </c>
      <c r="G106" s="290">
        <f t="shared" si="6"/>
        <v>20</v>
      </c>
      <c r="H106" s="290">
        <f t="shared" si="6"/>
        <v>20</v>
      </c>
      <c r="I106" s="290">
        <f t="shared" si="6"/>
        <v>20</v>
      </c>
      <c r="J106" s="290">
        <f t="shared" si="6"/>
        <v>21</v>
      </c>
      <c r="K106" s="290">
        <f t="shared" si="6"/>
        <v>19</v>
      </c>
      <c r="L106" s="290">
        <f t="shared" si="6"/>
        <v>22</v>
      </c>
      <c r="M106" s="290">
        <f t="shared" si="6"/>
        <v>2</v>
      </c>
      <c r="N106" s="110"/>
    </row>
    <row r="107" spans="1:14" x14ac:dyDescent="0.2">
      <c r="A107" s="290" t="s">
        <v>44</v>
      </c>
      <c r="B107" s="290">
        <v>13</v>
      </c>
      <c r="C107" s="290">
        <v>20</v>
      </c>
      <c r="D107" s="290">
        <v>18</v>
      </c>
      <c r="E107" s="290">
        <v>22</v>
      </c>
      <c r="F107" s="290">
        <v>15</v>
      </c>
      <c r="G107" s="290">
        <v>22</v>
      </c>
      <c r="H107" s="290">
        <v>16</v>
      </c>
      <c r="I107" s="290">
        <v>15</v>
      </c>
      <c r="J107" s="290">
        <v>21</v>
      </c>
      <c r="K107" s="290">
        <v>19</v>
      </c>
      <c r="L107" s="290">
        <v>19</v>
      </c>
      <c r="M107" s="290">
        <v>0</v>
      </c>
      <c r="N107" s="110"/>
    </row>
    <row r="108" spans="1:14" x14ac:dyDescent="0.2">
      <c r="A108" s="290" t="s">
        <v>46</v>
      </c>
      <c r="B108" s="290">
        <v>0</v>
      </c>
      <c r="C108" s="290">
        <v>0</v>
      </c>
      <c r="D108" s="290">
        <v>5</v>
      </c>
      <c r="E108" s="290">
        <v>0</v>
      </c>
      <c r="F108" s="290">
        <v>0</v>
      </c>
      <c r="G108" s="290">
        <v>0</v>
      </c>
      <c r="H108" s="290">
        <v>0</v>
      </c>
      <c r="I108" s="290">
        <v>0</v>
      </c>
      <c r="J108" s="290">
        <v>0</v>
      </c>
      <c r="K108" s="290">
        <v>0</v>
      </c>
      <c r="L108" s="290">
        <v>0</v>
      </c>
      <c r="M108" s="290">
        <v>20</v>
      </c>
      <c r="N108" s="110"/>
    </row>
    <row r="109" spans="1:14" ht="15.75" thickBot="1" x14ac:dyDescent="0.2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1:14" x14ac:dyDescent="0.2">
      <c r="A110" s="290" t="s">
        <v>40</v>
      </c>
      <c r="B110" s="290">
        <f>SUM(B103:M103)</f>
        <v>365</v>
      </c>
      <c r="C110" s="110"/>
      <c r="D110" s="291">
        <v>1924</v>
      </c>
      <c r="E110" s="291">
        <f>D110</f>
        <v>1924</v>
      </c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1:14" x14ac:dyDescent="0.2">
      <c r="A111" s="290" t="s">
        <v>41</v>
      </c>
      <c r="B111" s="290">
        <f>SUM(B104:M104)</f>
        <v>105</v>
      </c>
      <c r="C111" s="110"/>
      <c r="D111" s="292">
        <f>C112*B112</f>
        <v>59.2</v>
      </c>
      <c r="E111" s="292">
        <f>D111</f>
        <v>59.2</v>
      </c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x14ac:dyDescent="0.2">
      <c r="A112" s="290" t="s">
        <v>42</v>
      </c>
      <c r="B112" s="290">
        <f>SUM(B105:M105)</f>
        <v>8</v>
      </c>
      <c r="C112" s="110">
        <v>7.4</v>
      </c>
      <c r="D112" s="292"/>
      <c r="E112" s="292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1:14" x14ac:dyDescent="0.2">
      <c r="A113" s="290" t="s">
        <v>43</v>
      </c>
      <c r="B113" s="293">
        <f>SUM(B106:M106)-1</f>
        <v>226</v>
      </c>
      <c r="C113" s="110"/>
      <c r="D113" s="292"/>
      <c r="E113" s="292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1:14" x14ac:dyDescent="0.2">
      <c r="A114" s="290" t="s">
        <v>44</v>
      </c>
      <c r="B114" s="290">
        <f>SUM(B107:M107)</f>
        <v>200</v>
      </c>
      <c r="C114" s="110"/>
      <c r="D114" s="292">
        <f>C115*B115</f>
        <v>185</v>
      </c>
      <c r="E114" s="292">
        <f>D114</f>
        <v>185</v>
      </c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x14ac:dyDescent="0.2">
      <c r="A115" s="290" t="s">
        <v>46</v>
      </c>
      <c r="B115" s="290">
        <f>SUM(B108:M108)</f>
        <v>25</v>
      </c>
      <c r="C115" s="110">
        <f>C112</f>
        <v>7.4</v>
      </c>
      <c r="D115" s="292">
        <f>C116*B116</f>
        <v>37</v>
      </c>
      <c r="E115" s="292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ht="16.5" thickBot="1" x14ac:dyDescent="0.3">
      <c r="A116" s="290" t="s">
        <v>47</v>
      </c>
      <c r="B116" s="290">
        <v>5</v>
      </c>
      <c r="C116" s="110">
        <f>C115</f>
        <v>7.4</v>
      </c>
      <c r="D116" s="294">
        <f>D110-D111-D114-D115</f>
        <v>1642.8</v>
      </c>
      <c r="E116" s="294">
        <f>E110-E111-E114-E115</f>
        <v>1679.8</v>
      </c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x14ac:dyDescent="0.2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1:14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1:14" x14ac:dyDescent="0.2">
      <c r="A119" s="110"/>
      <c r="B119" s="296">
        <v>39661</v>
      </c>
      <c r="C119" s="296">
        <v>39692</v>
      </c>
      <c r="D119" s="296">
        <v>39722</v>
      </c>
      <c r="E119" s="296">
        <v>39753</v>
      </c>
      <c r="F119" s="296">
        <v>39783</v>
      </c>
      <c r="G119" s="296">
        <v>39814</v>
      </c>
      <c r="H119" s="296">
        <v>39845</v>
      </c>
      <c r="I119" s="296">
        <v>39873</v>
      </c>
      <c r="J119" s="296">
        <v>39904</v>
      </c>
      <c r="K119" s="296">
        <v>39934</v>
      </c>
      <c r="L119" s="296">
        <v>39965</v>
      </c>
      <c r="M119" s="296">
        <v>39995</v>
      </c>
      <c r="N119" s="110"/>
    </row>
    <row r="120" spans="1:14" x14ac:dyDescent="0.2">
      <c r="A120" s="290" t="s">
        <v>40</v>
      </c>
      <c r="B120" s="290">
        <v>31</v>
      </c>
      <c r="C120" s="290">
        <v>30</v>
      </c>
      <c r="D120" s="290">
        <v>31</v>
      </c>
      <c r="E120" s="290">
        <v>30</v>
      </c>
      <c r="F120" s="290">
        <v>31</v>
      </c>
      <c r="G120" s="290">
        <v>31</v>
      </c>
      <c r="H120" s="290">
        <v>28</v>
      </c>
      <c r="I120" s="290">
        <v>31</v>
      </c>
      <c r="J120" s="290">
        <v>30</v>
      </c>
      <c r="K120" s="290">
        <v>31</v>
      </c>
      <c r="L120" s="290">
        <v>30</v>
      </c>
      <c r="M120" s="290">
        <v>31</v>
      </c>
      <c r="N120" s="110"/>
    </row>
    <row r="121" spans="1:14" x14ac:dyDescent="0.2">
      <c r="A121" s="290" t="s">
        <v>41</v>
      </c>
      <c r="B121" s="290">
        <v>10</v>
      </c>
      <c r="C121" s="290">
        <v>8</v>
      </c>
      <c r="D121" s="290">
        <v>8</v>
      </c>
      <c r="E121" s="290">
        <v>10</v>
      </c>
      <c r="F121" s="290">
        <v>8</v>
      </c>
      <c r="G121" s="290">
        <v>9</v>
      </c>
      <c r="H121" s="290">
        <v>8</v>
      </c>
      <c r="I121" s="290">
        <v>9</v>
      </c>
      <c r="J121" s="290">
        <v>8</v>
      </c>
      <c r="K121" s="290">
        <v>10</v>
      </c>
      <c r="L121" s="290">
        <v>8</v>
      </c>
      <c r="M121" s="290">
        <v>8</v>
      </c>
      <c r="N121" s="110"/>
    </row>
    <row r="122" spans="1:14" x14ac:dyDescent="0.2">
      <c r="A122" s="290" t="s">
        <v>42</v>
      </c>
      <c r="B122" s="290">
        <v>0</v>
      </c>
      <c r="C122" s="290">
        <v>0</v>
      </c>
      <c r="D122" s="290">
        <v>0</v>
      </c>
      <c r="E122" s="290">
        <v>0</v>
      </c>
      <c r="F122" s="290">
        <v>2</v>
      </c>
      <c r="G122" s="290">
        <v>1</v>
      </c>
      <c r="H122" s="290">
        <v>0</v>
      </c>
      <c r="I122" s="290">
        <v>0</v>
      </c>
      <c r="J122" s="290">
        <v>3</v>
      </c>
      <c r="K122" s="290">
        <v>2</v>
      </c>
      <c r="L122" s="290">
        <v>1</v>
      </c>
      <c r="M122" s="290">
        <v>0</v>
      </c>
      <c r="N122" s="110"/>
    </row>
    <row r="123" spans="1:14" x14ac:dyDescent="0.2">
      <c r="A123" s="290" t="s">
        <v>43</v>
      </c>
      <c r="B123" s="290">
        <f t="shared" ref="B123:M123" si="7">B120-B121-B122-B125</f>
        <v>21</v>
      </c>
      <c r="C123" s="290">
        <f t="shared" si="7"/>
        <v>22</v>
      </c>
      <c r="D123" s="290">
        <f t="shared" si="7"/>
        <v>20</v>
      </c>
      <c r="E123" s="290">
        <f t="shared" si="7"/>
        <v>20</v>
      </c>
      <c r="F123" s="290">
        <f t="shared" si="7"/>
        <v>21</v>
      </c>
      <c r="G123" s="290">
        <f t="shared" si="7"/>
        <v>21</v>
      </c>
      <c r="H123" s="290">
        <f t="shared" si="7"/>
        <v>20</v>
      </c>
      <c r="I123" s="290">
        <f t="shared" si="7"/>
        <v>22</v>
      </c>
      <c r="J123" s="290">
        <f t="shared" si="7"/>
        <v>19</v>
      </c>
      <c r="K123" s="290">
        <f t="shared" si="7"/>
        <v>19</v>
      </c>
      <c r="L123" s="290">
        <f t="shared" si="7"/>
        <v>21</v>
      </c>
      <c r="M123" s="290">
        <f t="shared" si="7"/>
        <v>3</v>
      </c>
      <c r="N123" s="110"/>
    </row>
    <row r="124" spans="1:14" x14ac:dyDescent="0.2">
      <c r="A124" s="290" t="s">
        <v>44</v>
      </c>
      <c r="B124" s="290">
        <v>13</v>
      </c>
      <c r="C124" s="290">
        <v>20</v>
      </c>
      <c r="D124" s="290">
        <v>18</v>
      </c>
      <c r="E124" s="290">
        <v>22</v>
      </c>
      <c r="F124" s="290">
        <v>15</v>
      </c>
      <c r="G124" s="290">
        <v>22</v>
      </c>
      <c r="H124" s="290">
        <v>16</v>
      </c>
      <c r="I124" s="290">
        <v>15</v>
      </c>
      <c r="J124" s="290">
        <v>21</v>
      </c>
      <c r="K124" s="290">
        <v>19</v>
      </c>
      <c r="L124" s="290">
        <v>19</v>
      </c>
      <c r="M124" s="290">
        <v>0</v>
      </c>
      <c r="N124" s="110"/>
    </row>
    <row r="125" spans="1:14" x14ac:dyDescent="0.2">
      <c r="A125" s="290" t="s">
        <v>46</v>
      </c>
      <c r="B125" s="290">
        <v>0</v>
      </c>
      <c r="C125" s="290">
        <v>0</v>
      </c>
      <c r="D125" s="290">
        <v>3</v>
      </c>
      <c r="E125" s="290">
        <v>0</v>
      </c>
      <c r="F125" s="290">
        <v>0</v>
      </c>
      <c r="G125" s="290">
        <v>0</v>
      </c>
      <c r="H125" s="290">
        <v>0</v>
      </c>
      <c r="I125" s="290">
        <v>0</v>
      </c>
      <c r="J125" s="290">
        <v>0</v>
      </c>
      <c r="K125" s="290">
        <v>0</v>
      </c>
      <c r="L125" s="290">
        <v>0</v>
      </c>
      <c r="M125" s="290">
        <v>20</v>
      </c>
      <c r="N125" s="110"/>
    </row>
    <row r="126" spans="1:14" ht="15.75" thickBot="1" x14ac:dyDescent="0.2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x14ac:dyDescent="0.2">
      <c r="A127" s="290" t="s">
        <v>40</v>
      </c>
      <c r="B127" s="290">
        <f>SUM(B120:M120)</f>
        <v>365</v>
      </c>
      <c r="C127" s="110"/>
      <c r="D127" s="291">
        <v>1924</v>
      </c>
      <c r="E127" s="291">
        <f>D127</f>
        <v>1924</v>
      </c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1:14" x14ac:dyDescent="0.2">
      <c r="A128" s="290" t="s">
        <v>41</v>
      </c>
      <c r="B128" s="290">
        <f>SUM(B121:M121)</f>
        <v>104</v>
      </c>
      <c r="C128" s="110"/>
      <c r="D128" s="292">
        <f>C129*B129</f>
        <v>66.600000000000009</v>
      </c>
      <c r="E128" s="292">
        <f>D128</f>
        <v>66.600000000000009</v>
      </c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x14ac:dyDescent="0.2">
      <c r="A129" s="290" t="s">
        <v>42</v>
      </c>
      <c r="B129" s="290">
        <f>SUM(B122:M122)</f>
        <v>9</v>
      </c>
      <c r="C129" s="110">
        <v>7.4</v>
      </c>
      <c r="D129" s="292"/>
      <c r="E129" s="292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1:14" x14ac:dyDescent="0.2">
      <c r="A130" s="290" t="s">
        <v>43</v>
      </c>
      <c r="B130" s="293">
        <f>SUM(B123:M123)-1</f>
        <v>228</v>
      </c>
      <c r="C130" s="110"/>
      <c r="D130" s="292"/>
      <c r="E130" s="292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1:14" x14ac:dyDescent="0.2">
      <c r="A131" s="290" t="s">
        <v>44</v>
      </c>
      <c r="B131" s="290">
        <f>SUM(B124:M124)</f>
        <v>200</v>
      </c>
      <c r="C131" s="110"/>
      <c r="D131" s="292">
        <f>C132*B132</f>
        <v>170.20000000000002</v>
      </c>
      <c r="E131" s="292">
        <f>D131</f>
        <v>170.20000000000002</v>
      </c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1:14" x14ac:dyDescent="0.2">
      <c r="A132" s="290" t="s">
        <v>46</v>
      </c>
      <c r="B132" s="290">
        <f>SUM(B125:M125)</f>
        <v>23</v>
      </c>
      <c r="C132" s="110">
        <f>C129</f>
        <v>7.4</v>
      </c>
      <c r="D132" s="292">
        <f>C133*B133</f>
        <v>37</v>
      </c>
      <c r="E132" s="292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1:14" ht="16.5" thickBot="1" x14ac:dyDescent="0.3">
      <c r="A133" s="290" t="s">
        <v>47</v>
      </c>
      <c r="B133" s="290">
        <v>5</v>
      </c>
      <c r="C133" s="110">
        <f>C132</f>
        <v>7.4</v>
      </c>
      <c r="D133" s="294">
        <f>D127-D128-D131-D132</f>
        <v>1650.2</v>
      </c>
      <c r="E133" s="294">
        <f>E127-E128-E131-E132</f>
        <v>1687.2</v>
      </c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1:14" x14ac:dyDescent="0.2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1:14" x14ac:dyDescent="0.2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1:14" x14ac:dyDescent="0.2">
      <c r="A136" s="110"/>
      <c r="B136" s="296">
        <v>39295</v>
      </c>
      <c r="C136" s="296">
        <v>39326</v>
      </c>
      <c r="D136" s="296">
        <v>39356</v>
      </c>
      <c r="E136" s="296">
        <v>39387</v>
      </c>
      <c r="F136" s="296">
        <v>39417</v>
      </c>
      <c r="G136" s="296">
        <v>39448</v>
      </c>
      <c r="H136" s="296">
        <v>39479</v>
      </c>
      <c r="I136" s="296">
        <v>39508</v>
      </c>
      <c r="J136" s="296">
        <v>39539</v>
      </c>
      <c r="K136" s="296">
        <v>39569</v>
      </c>
      <c r="L136" s="296">
        <v>39600</v>
      </c>
      <c r="M136" s="296">
        <v>39630</v>
      </c>
      <c r="N136" s="110"/>
    </row>
    <row r="137" spans="1:14" x14ac:dyDescent="0.2">
      <c r="A137" s="290" t="s">
        <v>40</v>
      </c>
      <c r="B137" s="290">
        <v>31</v>
      </c>
      <c r="C137" s="290">
        <v>30</v>
      </c>
      <c r="D137" s="290">
        <v>31</v>
      </c>
      <c r="E137" s="290">
        <v>30</v>
      </c>
      <c r="F137" s="290">
        <v>31</v>
      </c>
      <c r="G137" s="290">
        <v>31</v>
      </c>
      <c r="H137" s="290">
        <v>29</v>
      </c>
      <c r="I137" s="290">
        <v>31</v>
      </c>
      <c r="J137" s="290">
        <v>30</v>
      </c>
      <c r="K137" s="290">
        <v>31</v>
      </c>
      <c r="L137" s="290">
        <v>30</v>
      </c>
      <c r="M137" s="290">
        <v>31</v>
      </c>
      <c r="N137" s="110"/>
    </row>
    <row r="138" spans="1:14" x14ac:dyDescent="0.2">
      <c r="A138" s="290" t="s">
        <v>41</v>
      </c>
      <c r="B138" s="290">
        <v>8</v>
      </c>
      <c r="C138" s="290">
        <v>10</v>
      </c>
      <c r="D138" s="290">
        <v>8</v>
      </c>
      <c r="E138" s="290">
        <v>8</v>
      </c>
      <c r="F138" s="290">
        <v>10</v>
      </c>
      <c r="G138" s="290">
        <v>8</v>
      </c>
      <c r="H138" s="290">
        <v>8</v>
      </c>
      <c r="I138" s="290">
        <v>10</v>
      </c>
      <c r="J138" s="290">
        <v>8</v>
      </c>
      <c r="K138" s="290">
        <v>9</v>
      </c>
      <c r="L138" s="290">
        <v>9</v>
      </c>
      <c r="M138" s="290">
        <v>8</v>
      </c>
      <c r="N138" s="110"/>
    </row>
    <row r="139" spans="1:14" x14ac:dyDescent="0.2">
      <c r="A139" s="290" t="s">
        <v>42</v>
      </c>
      <c r="B139" s="290">
        <v>0</v>
      </c>
      <c r="C139" s="290">
        <v>0</v>
      </c>
      <c r="D139" s="290">
        <v>0</v>
      </c>
      <c r="E139" s="290">
        <v>0</v>
      </c>
      <c r="F139" s="290">
        <v>2</v>
      </c>
      <c r="G139" s="290">
        <v>1</v>
      </c>
      <c r="H139" s="290">
        <v>0</v>
      </c>
      <c r="I139" s="290">
        <v>3</v>
      </c>
      <c r="J139" s="290">
        <v>1</v>
      </c>
      <c r="K139" s="290">
        <v>2</v>
      </c>
      <c r="L139" s="290">
        <v>0</v>
      </c>
      <c r="M139" s="290">
        <v>0</v>
      </c>
      <c r="N139" s="110"/>
    </row>
    <row r="140" spans="1:14" x14ac:dyDescent="0.2">
      <c r="A140" s="290" t="s">
        <v>43</v>
      </c>
      <c r="B140" s="290">
        <f>B137-B138-B139</f>
        <v>23</v>
      </c>
      <c r="C140" s="290">
        <f t="shared" ref="C140:L140" si="8">C137-C138-C139</f>
        <v>20</v>
      </c>
      <c r="D140" s="290">
        <f t="shared" si="8"/>
        <v>23</v>
      </c>
      <c r="E140" s="290">
        <f t="shared" si="8"/>
        <v>22</v>
      </c>
      <c r="F140" s="290">
        <f t="shared" si="8"/>
        <v>19</v>
      </c>
      <c r="G140" s="290">
        <f t="shared" si="8"/>
        <v>22</v>
      </c>
      <c r="H140" s="290">
        <f t="shared" si="8"/>
        <v>21</v>
      </c>
      <c r="I140" s="290">
        <f t="shared" si="8"/>
        <v>18</v>
      </c>
      <c r="J140" s="290">
        <f t="shared" si="8"/>
        <v>21</v>
      </c>
      <c r="K140" s="290">
        <f t="shared" si="8"/>
        <v>20</v>
      </c>
      <c r="L140" s="290">
        <f t="shared" si="8"/>
        <v>21</v>
      </c>
      <c r="M140" s="293">
        <v>0</v>
      </c>
      <c r="N140" s="110"/>
    </row>
    <row r="141" spans="1:14" x14ac:dyDescent="0.2">
      <c r="A141" s="290" t="s">
        <v>44</v>
      </c>
      <c r="B141" s="290">
        <v>13</v>
      </c>
      <c r="C141" s="290">
        <v>20</v>
      </c>
      <c r="D141" s="290">
        <v>18</v>
      </c>
      <c r="E141" s="290">
        <v>22</v>
      </c>
      <c r="F141" s="290">
        <v>15</v>
      </c>
      <c r="G141" s="290">
        <v>22</v>
      </c>
      <c r="H141" s="290">
        <v>16</v>
      </c>
      <c r="I141" s="290">
        <v>15</v>
      </c>
      <c r="J141" s="290">
        <v>21</v>
      </c>
      <c r="K141" s="290">
        <v>19</v>
      </c>
      <c r="L141" s="290">
        <v>19</v>
      </c>
      <c r="M141" s="290">
        <v>0</v>
      </c>
      <c r="N141" s="110"/>
    </row>
    <row r="142" spans="1:14" x14ac:dyDescent="0.2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1:14" x14ac:dyDescent="0.2">
      <c r="A143" s="290" t="s">
        <v>40</v>
      </c>
      <c r="B143" s="290">
        <f>SUM(B137:M137)</f>
        <v>366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1:14" x14ac:dyDescent="0.2">
      <c r="A144" s="290" t="s">
        <v>41</v>
      </c>
      <c r="B144" s="290">
        <f>SUM(B138:M138)</f>
        <v>104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x14ac:dyDescent="0.2">
      <c r="A145" s="290" t="s">
        <v>42</v>
      </c>
      <c r="B145" s="290">
        <f>SUM(B139:M139)</f>
        <v>9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1:14" x14ac:dyDescent="0.2">
      <c r="A146" s="290" t="s">
        <v>43</v>
      </c>
      <c r="B146" s="293">
        <f>SUM(B140:M140)-1</f>
        <v>229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1:14" x14ac:dyDescent="0.2">
      <c r="A147" s="290" t="s">
        <v>44</v>
      </c>
      <c r="B147" s="290">
        <f>SUM(B141:M141)</f>
        <v>200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23"/>
  <sheetViews>
    <sheetView showGridLines="0" defaultGridColor="0" colorId="22" zoomScale="87" zoomScaleNormal="87" workbookViewId="0">
      <selection activeCell="A2" sqref="A2"/>
    </sheetView>
  </sheetViews>
  <sheetFormatPr defaultColWidth="9.77734375" defaultRowHeight="15" x14ac:dyDescent="0.2"/>
  <cols>
    <col min="1" max="1" width="12.33203125" customWidth="1"/>
    <col min="2" max="2" width="11" style="6" bestFit="1" customWidth="1"/>
    <col min="3" max="3" width="10.6640625" style="6" customWidth="1"/>
    <col min="4" max="4" width="10.44140625" bestFit="1" customWidth="1"/>
    <col min="5" max="5" width="9.88671875" customWidth="1"/>
    <col min="6" max="6" width="12.109375" customWidth="1"/>
    <col min="7" max="7" width="10.44140625" bestFit="1" customWidth="1"/>
    <col min="8" max="8" width="8.77734375" bestFit="1" customWidth="1"/>
  </cols>
  <sheetData>
    <row r="1" spans="1:10" ht="16.5" thickTop="1" x14ac:dyDescent="0.25">
      <c r="A1" s="16" t="s">
        <v>10</v>
      </c>
      <c r="B1" s="17"/>
      <c r="C1" s="18"/>
      <c r="D1" s="19"/>
    </row>
    <row r="2" spans="1:10" ht="15.75" x14ac:dyDescent="0.25">
      <c r="A2" s="20" t="s">
        <v>11</v>
      </c>
      <c r="B2" s="21"/>
      <c r="C2" s="22"/>
      <c r="D2" s="23"/>
    </row>
    <row r="3" spans="1:10" ht="16.5" thickBot="1" x14ac:dyDescent="0.3">
      <c r="A3" s="24" t="s">
        <v>12</v>
      </c>
      <c r="B3" s="25"/>
      <c r="C3" s="26"/>
      <c r="D3" s="27"/>
      <c r="F3" s="207"/>
      <c r="G3" s="207"/>
      <c r="H3" s="207"/>
      <c r="I3" s="207"/>
      <c r="J3" s="207"/>
    </row>
    <row r="4" spans="1:10" ht="0.2" customHeight="1" thickTop="1" thickBot="1" x14ac:dyDescent="0.25">
      <c r="E4" s="207"/>
      <c r="F4" s="207"/>
      <c r="G4" s="207"/>
      <c r="H4" s="207"/>
      <c r="I4" s="207"/>
      <c r="J4" s="207"/>
    </row>
    <row r="5" spans="1:10" ht="0.2" customHeight="1" thickTop="1" thickBot="1" x14ac:dyDescent="0.25">
      <c r="E5" s="207"/>
      <c r="F5" s="207"/>
      <c r="G5" s="207"/>
      <c r="H5" s="207"/>
      <c r="I5" s="207"/>
      <c r="J5" s="207"/>
    </row>
    <row r="6" spans="1:10" ht="0.2" customHeight="1" thickTop="1" thickBot="1" x14ac:dyDescent="0.25">
      <c r="E6" s="207"/>
      <c r="F6" s="207"/>
      <c r="G6" s="207"/>
      <c r="H6" s="207"/>
      <c r="I6" s="207"/>
      <c r="J6" s="207"/>
    </row>
    <row r="7" spans="1:10" ht="0.2" customHeight="1" thickTop="1" thickBot="1" x14ac:dyDescent="0.25">
      <c r="E7" s="207"/>
      <c r="F7" s="207"/>
      <c r="G7" s="207"/>
      <c r="H7" s="207"/>
      <c r="I7" s="207"/>
      <c r="J7" s="207"/>
    </row>
    <row r="8" spans="1:10" ht="0.2" customHeight="1" thickTop="1" thickBot="1" x14ac:dyDescent="0.25">
      <c r="E8" s="207"/>
      <c r="F8" s="207"/>
      <c r="G8" s="207"/>
      <c r="H8" s="207"/>
      <c r="I8" s="207"/>
      <c r="J8" s="207"/>
    </row>
    <row r="9" spans="1:10" ht="0.2" customHeight="1" thickTop="1" thickBot="1" x14ac:dyDescent="0.25">
      <c r="E9" s="207"/>
      <c r="F9" s="207"/>
      <c r="G9" s="207"/>
      <c r="H9" s="207"/>
      <c r="I9" s="207"/>
      <c r="J9" s="207"/>
    </row>
    <row r="10" spans="1:10" ht="0.2" customHeight="1" thickTop="1" thickBot="1" x14ac:dyDescent="0.25">
      <c r="E10" s="207"/>
      <c r="F10" s="207"/>
      <c r="G10" s="207"/>
      <c r="H10" s="207"/>
      <c r="I10" s="207"/>
      <c r="J10" s="207"/>
    </row>
    <row r="11" spans="1:10" ht="0.2" customHeight="1" thickTop="1" thickBot="1" x14ac:dyDescent="0.25">
      <c r="E11" s="207"/>
      <c r="F11" s="207"/>
      <c r="G11" s="207"/>
      <c r="H11" s="207"/>
      <c r="I11" s="207"/>
      <c r="J11" s="207"/>
    </row>
    <row r="12" spans="1:10" ht="0.2" customHeight="1" thickTop="1" thickBot="1" x14ac:dyDescent="0.25">
      <c r="E12" s="207"/>
      <c r="F12" s="207"/>
      <c r="G12" s="207"/>
      <c r="H12" s="207"/>
      <c r="I12" s="207"/>
      <c r="J12" s="207"/>
    </row>
    <row r="13" spans="1:10" ht="0.2" customHeight="1" thickTop="1" thickBot="1" x14ac:dyDescent="0.25">
      <c r="B13" s="7"/>
      <c r="C13" s="9"/>
      <c r="D13" s="2"/>
      <c r="E13" s="207"/>
      <c r="F13" s="207"/>
      <c r="G13" s="207"/>
      <c r="H13" s="207"/>
      <c r="I13" s="207"/>
      <c r="J13" s="207"/>
    </row>
    <row r="14" spans="1:10" ht="0.2" customHeight="1" thickTop="1" thickBot="1" x14ac:dyDescent="0.25">
      <c r="B14" s="7"/>
      <c r="C14" s="9"/>
      <c r="D14" s="2"/>
      <c r="E14" s="207"/>
      <c r="F14" s="207"/>
      <c r="G14" s="207"/>
      <c r="H14" s="207"/>
      <c r="I14" s="207"/>
      <c r="J14" s="207"/>
    </row>
    <row r="15" spans="1:10" ht="0.2" customHeight="1" thickTop="1" thickBot="1" x14ac:dyDescent="0.25">
      <c r="B15" s="8"/>
      <c r="C15" s="10"/>
      <c r="D15" s="2"/>
      <c r="E15" s="207"/>
      <c r="F15" s="207"/>
      <c r="G15" s="207"/>
      <c r="H15" s="207"/>
      <c r="I15" s="207"/>
      <c r="J15" s="207"/>
    </row>
    <row r="16" spans="1:10" ht="0.2" customHeight="1" thickTop="1" thickBot="1" x14ac:dyDescent="0.25">
      <c r="B16" s="8"/>
      <c r="C16" s="10"/>
      <c r="D16" s="2"/>
      <c r="E16" s="207"/>
      <c r="F16" s="207"/>
      <c r="G16" s="207"/>
      <c r="H16" s="207"/>
      <c r="I16" s="207"/>
      <c r="J16" s="207"/>
    </row>
    <row r="17" spans="1:10" ht="0.2" customHeight="1" thickTop="1" thickBot="1" x14ac:dyDescent="0.25">
      <c r="B17" s="8"/>
      <c r="C17" s="10"/>
      <c r="D17" s="2"/>
      <c r="E17" s="207"/>
      <c r="F17" s="207"/>
      <c r="G17" s="207"/>
      <c r="H17" s="207"/>
      <c r="I17" s="207"/>
      <c r="J17" s="207"/>
    </row>
    <row r="18" spans="1:10" ht="0.2" customHeight="1" thickTop="1" thickBot="1" x14ac:dyDescent="0.25">
      <c r="B18" s="8"/>
      <c r="C18" s="10"/>
      <c r="D18" s="2"/>
      <c r="E18" s="207"/>
      <c r="F18" s="207"/>
      <c r="G18" s="207"/>
      <c r="H18" s="207"/>
      <c r="I18" s="207"/>
      <c r="J18" s="207"/>
    </row>
    <row r="19" spans="1:10" ht="0.2" customHeight="1" thickTop="1" thickBot="1" x14ac:dyDescent="0.25">
      <c r="C19" s="10"/>
      <c r="D19" s="2"/>
      <c r="E19" s="207"/>
      <c r="F19" s="207"/>
      <c r="G19" s="207"/>
      <c r="H19" s="207"/>
      <c r="I19" s="207"/>
      <c r="J19" s="207"/>
    </row>
    <row r="20" spans="1:10" ht="15.75" customHeight="1" thickTop="1" thickBot="1" x14ac:dyDescent="0.25">
      <c r="A20" s="29" t="s">
        <v>20</v>
      </c>
      <c r="B20" s="129" t="s">
        <v>203</v>
      </c>
      <c r="D20" s="318"/>
      <c r="E20" s="207"/>
      <c r="F20" s="207"/>
      <c r="G20" s="207"/>
      <c r="H20" s="207"/>
      <c r="I20" s="207"/>
      <c r="J20" s="207"/>
    </row>
    <row r="21" spans="1:10" ht="15" customHeight="1" x14ac:dyDescent="0.2">
      <c r="A21" s="318"/>
      <c r="B21" s="56"/>
      <c r="C21" s="48" t="s">
        <v>1</v>
      </c>
      <c r="D21" s="318"/>
      <c r="E21" s="207"/>
      <c r="F21" s="207"/>
      <c r="G21" s="207"/>
      <c r="H21" s="207"/>
      <c r="I21" s="207"/>
      <c r="J21" s="207"/>
    </row>
    <row r="22" spans="1:10" ht="15.6" customHeight="1" x14ac:dyDescent="0.25">
      <c r="A22" s="53" t="s">
        <v>0</v>
      </c>
      <c r="B22" s="147">
        <v>1.3113330000000001</v>
      </c>
      <c r="C22" s="30">
        <v>1</v>
      </c>
      <c r="D22" s="54" t="s">
        <v>35</v>
      </c>
      <c r="E22" s="207"/>
      <c r="F22" s="207"/>
      <c r="G22" s="207"/>
      <c r="H22" s="207"/>
      <c r="I22" s="207"/>
      <c r="J22" s="207"/>
    </row>
    <row r="23" spans="1:10" ht="15.6" customHeight="1" x14ac:dyDescent="0.25">
      <c r="A23" s="55">
        <v>23</v>
      </c>
      <c r="B23" s="124">
        <v>289735</v>
      </c>
      <c r="C23" s="56"/>
      <c r="D23" s="124">
        <v>274925</v>
      </c>
      <c r="E23" s="207"/>
      <c r="F23" s="207"/>
      <c r="G23" s="207"/>
      <c r="H23" s="207"/>
      <c r="I23" s="207"/>
      <c r="J23" s="207"/>
    </row>
    <row r="24" spans="1:10" ht="15.75" x14ac:dyDescent="0.25">
      <c r="A24" s="55">
        <v>24</v>
      </c>
      <c r="B24" s="124">
        <v>293767</v>
      </c>
      <c r="C24" s="56">
        <v>4014</v>
      </c>
      <c r="D24" s="124">
        <v>279378</v>
      </c>
      <c r="E24" s="207"/>
      <c r="F24" s="207"/>
      <c r="G24" s="207"/>
      <c r="H24" s="207"/>
      <c r="I24" s="207"/>
      <c r="J24" s="207"/>
    </row>
    <row r="25" spans="1:10" ht="15.75" x14ac:dyDescent="0.25">
      <c r="A25" s="55">
        <v>25</v>
      </c>
      <c r="B25" s="124">
        <v>297866</v>
      </c>
      <c r="C25" s="56">
        <v>4079</v>
      </c>
      <c r="D25" s="124">
        <v>283925</v>
      </c>
      <c r="E25" s="207"/>
      <c r="F25" s="207"/>
      <c r="G25" s="207"/>
      <c r="H25" s="207"/>
      <c r="I25" s="207"/>
      <c r="J25" s="207"/>
    </row>
    <row r="26" spans="1:10" ht="15.75" x14ac:dyDescent="0.25">
      <c r="A26" s="55">
        <v>26</v>
      </c>
      <c r="B26" s="124">
        <v>302037</v>
      </c>
      <c r="C26" s="56">
        <v>4153</v>
      </c>
      <c r="D26" s="124">
        <v>288576</v>
      </c>
      <c r="E26" s="207"/>
      <c r="F26" s="207"/>
      <c r="G26" s="207"/>
      <c r="H26" s="207"/>
      <c r="I26" s="207"/>
      <c r="J26" s="207"/>
    </row>
    <row r="27" spans="1:10" ht="15.75" x14ac:dyDescent="0.25">
      <c r="A27" s="55">
        <v>27</v>
      </c>
      <c r="B27" s="124">
        <v>306277</v>
      </c>
      <c r="C27" s="56">
        <v>4221</v>
      </c>
      <c r="D27" s="124">
        <v>293333</v>
      </c>
      <c r="E27" s="207"/>
      <c r="F27" s="207"/>
      <c r="G27" s="207"/>
      <c r="H27" s="207"/>
      <c r="I27" s="207"/>
      <c r="J27" s="207"/>
    </row>
    <row r="28" spans="1:10" ht="15.75" x14ac:dyDescent="0.25">
      <c r="A28" s="55">
        <v>28</v>
      </c>
      <c r="B28" s="124">
        <v>310589</v>
      </c>
      <c r="C28" s="56">
        <v>4292</v>
      </c>
      <c r="D28" s="124">
        <v>298196</v>
      </c>
      <c r="E28" s="207"/>
      <c r="F28" s="207"/>
      <c r="G28" s="207"/>
      <c r="H28" s="207"/>
      <c r="I28" s="207"/>
      <c r="J28" s="207"/>
    </row>
    <row r="29" spans="1:10" ht="15.75" x14ac:dyDescent="0.25">
      <c r="A29" s="55">
        <v>29</v>
      </c>
      <c r="B29" s="124">
        <v>314975</v>
      </c>
      <c r="C29" s="56">
        <v>4367</v>
      </c>
      <c r="D29" s="124">
        <v>303168</v>
      </c>
      <c r="E29" s="207"/>
      <c r="F29" s="207"/>
      <c r="G29" s="207"/>
      <c r="H29" s="207"/>
      <c r="I29" s="207"/>
      <c r="J29" s="207"/>
    </row>
    <row r="30" spans="1:10" ht="15.75" x14ac:dyDescent="0.25">
      <c r="A30" s="55">
        <v>30</v>
      </c>
      <c r="B30" s="124">
        <v>319428</v>
      </c>
      <c r="C30" s="56">
        <v>4433</v>
      </c>
      <c r="D30" s="124">
        <v>308248</v>
      </c>
      <c r="E30" s="207"/>
      <c r="F30" s="207"/>
      <c r="G30" s="207"/>
      <c r="H30" s="207"/>
      <c r="I30" s="207"/>
      <c r="J30" s="207"/>
    </row>
    <row r="31" spans="1:10" ht="15.75" x14ac:dyDescent="0.25">
      <c r="A31" s="55">
        <v>31</v>
      </c>
      <c r="B31" s="124">
        <v>323961</v>
      </c>
      <c r="C31" s="56">
        <v>4511</v>
      </c>
      <c r="D31" s="124">
        <v>313444</v>
      </c>
      <c r="E31" s="207"/>
      <c r="F31" s="207"/>
      <c r="G31" s="207"/>
      <c r="H31" s="207"/>
      <c r="I31" s="207"/>
      <c r="J31" s="207"/>
    </row>
    <row r="32" spans="1:10" ht="15.75" x14ac:dyDescent="0.25">
      <c r="A32" s="55">
        <v>32</v>
      </c>
      <c r="B32" s="124">
        <v>328564</v>
      </c>
      <c r="C32" s="56">
        <v>4582</v>
      </c>
      <c r="D32" s="124">
        <v>318755</v>
      </c>
      <c r="E32" s="207"/>
      <c r="F32" s="207"/>
      <c r="G32" s="207"/>
      <c r="H32" s="207"/>
      <c r="I32" s="207"/>
      <c r="J32" s="207"/>
    </row>
    <row r="33" spans="1:10" ht="15.75" x14ac:dyDescent="0.25">
      <c r="A33" s="55">
        <v>33</v>
      </c>
      <c r="B33" s="124">
        <v>333238</v>
      </c>
      <c r="C33" s="56">
        <v>4653</v>
      </c>
      <c r="D33" s="124">
        <v>324181</v>
      </c>
      <c r="E33" s="207"/>
      <c r="F33" s="207"/>
      <c r="G33" s="207"/>
      <c r="H33" s="207"/>
      <c r="I33" s="207"/>
      <c r="J33" s="207"/>
    </row>
    <row r="34" spans="1:10" ht="15.75" x14ac:dyDescent="0.25">
      <c r="A34" s="55">
        <v>34</v>
      </c>
      <c r="B34" s="124">
        <v>337996</v>
      </c>
      <c r="C34" s="56">
        <v>4736</v>
      </c>
      <c r="D34" s="124">
        <v>329733</v>
      </c>
      <c r="E34" s="207"/>
      <c r="F34" s="207"/>
      <c r="G34" s="207"/>
      <c r="H34" s="207"/>
      <c r="I34" s="207"/>
      <c r="J34" s="207"/>
    </row>
    <row r="35" spans="1:10" ht="15.75" x14ac:dyDescent="0.25">
      <c r="A35" s="55">
        <v>35</v>
      </c>
      <c r="B35" s="124">
        <v>342822</v>
      </c>
      <c r="C35" s="56">
        <v>4804</v>
      </c>
      <c r="D35" s="124">
        <v>335402</v>
      </c>
      <c r="E35" s="207"/>
      <c r="F35" s="207"/>
      <c r="G35" s="207"/>
      <c r="H35" s="207"/>
      <c r="I35" s="207"/>
      <c r="J35" s="207"/>
    </row>
    <row r="36" spans="1:10" ht="15.75" x14ac:dyDescent="0.25">
      <c r="A36" s="55">
        <v>36</v>
      </c>
      <c r="B36" s="124">
        <v>347726</v>
      </c>
      <c r="C36" s="56">
        <v>4883</v>
      </c>
      <c r="D36" s="124">
        <v>341201</v>
      </c>
      <c r="E36" s="207"/>
      <c r="F36" s="207"/>
      <c r="G36" s="207"/>
      <c r="H36" s="207"/>
      <c r="I36" s="207"/>
      <c r="J36" s="207"/>
    </row>
    <row r="37" spans="1:10" ht="15.75" x14ac:dyDescent="0.25">
      <c r="A37" s="55">
        <v>37</v>
      </c>
      <c r="B37" s="124">
        <v>352706</v>
      </c>
      <c r="C37" s="56">
        <v>4955</v>
      </c>
      <c r="D37" s="124">
        <v>347126</v>
      </c>
      <c r="E37" s="207"/>
      <c r="F37" s="207"/>
      <c r="G37" s="207"/>
      <c r="H37" s="207"/>
      <c r="I37" s="207"/>
      <c r="J37" s="207"/>
    </row>
    <row r="38" spans="1:10" ht="15.75" x14ac:dyDescent="0.25">
      <c r="A38" s="55">
        <v>38</v>
      </c>
      <c r="B38" s="124">
        <v>358087</v>
      </c>
      <c r="C38" s="56">
        <v>5358</v>
      </c>
      <c r="D38" s="124">
        <v>353415</v>
      </c>
      <c r="E38" s="207"/>
      <c r="F38" s="207"/>
      <c r="G38" s="207"/>
      <c r="H38" s="207"/>
      <c r="I38" s="207"/>
      <c r="J38" s="207"/>
    </row>
    <row r="39" spans="1:10" ht="15.75" x14ac:dyDescent="0.25">
      <c r="A39" s="55">
        <v>39</v>
      </c>
      <c r="B39" s="124">
        <v>363326</v>
      </c>
      <c r="C39" s="56">
        <v>5215</v>
      </c>
      <c r="D39" s="124">
        <v>359729</v>
      </c>
      <c r="E39" s="207"/>
      <c r="F39" s="207"/>
      <c r="G39" s="207"/>
      <c r="H39" s="207"/>
      <c r="I39" s="207"/>
      <c r="J39" s="207"/>
    </row>
    <row r="40" spans="1:10" ht="15.75" x14ac:dyDescent="0.25">
      <c r="A40" s="55">
        <v>40</v>
      </c>
      <c r="B40" s="124">
        <v>368647</v>
      </c>
      <c r="C40" s="56">
        <v>5297</v>
      </c>
      <c r="D40" s="124">
        <v>366186</v>
      </c>
      <c r="E40" s="207"/>
      <c r="F40" s="207"/>
      <c r="G40" s="207"/>
      <c r="H40" s="207"/>
      <c r="I40" s="207"/>
      <c r="J40" s="207"/>
    </row>
    <row r="41" spans="1:10" ht="15.75" x14ac:dyDescent="0.25">
      <c r="A41" s="55">
        <v>41</v>
      </c>
      <c r="B41" s="124">
        <v>374046</v>
      </c>
      <c r="C41" s="56">
        <v>5374</v>
      </c>
      <c r="D41" s="124">
        <v>372783</v>
      </c>
      <c r="E41" s="207"/>
      <c r="F41" s="207"/>
      <c r="G41" s="207"/>
      <c r="H41" s="207"/>
      <c r="I41" s="207"/>
      <c r="J41" s="207"/>
    </row>
    <row r="42" spans="1:10" ht="15.75" x14ac:dyDescent="0.25">
      <c r="A42" s="55">
        <v>42</v>
      </c>
      <c r="B42" s="124">
        <v>379523</v>
      </c>
      <c r="C42" s="56">
        <v>5453</v>
      </c>
      <c r="D42" s="124">
        <v>379523</v>
      </c>
      <c r="E42" s="207"/>
      <c r="F42" s="207"/>
      <c r="G42" s="207"/>
      <c r="H42" s="207"/>
      <c r="I42" s="207"/>
      <c r="J42" s="207"/>
    </row>
    <row r="43" spans="1:10" ht="15.75" x14ac:dyDescent="0.25">
      <c r="A43" s="55">
        <v>43</v>
      </c>
      <c r="B43" s="124">
        <v>387958</v>
      </c>
      <c r="C43" s="56">
        <v>8396</v>
      </c>
      <c r="D43" s="124">
        <v>387958</v>
      </c>
      <c r="E43" s="207"/>
      <c r="F43" s="207"/>
      <c r="G43" s="207"/>
      <c r="H43" s="207"/>
      <c r="I43" s="207"/>
      <c r="J43" s="207"/>
    </row>
    <row r="44" spans="1:10" ht="15.75" x14ac:dyDescent="0.25">
      <c r="A44" s="55">
        <v>44</v>
      </c>
      <c r="B44" s="124">
        <v>396626</v>
      </c>
      <c r="C44" s="56">
        <v>8628</v>
      </c>
      <c r="D44" s="124">
        <v>396626</v>
      </c>
      <c r="E44" s="207"/>
      <c r="F44" s="207"/>
      <c r="G44" s="207"/>
      <c r="H44" s="207"/>
      <c r="I44" s="207"/>
      <c r="J44" s="207"/>
    </row>
    <row r="45" spans="1:10" ht="15.75" x14ac:dyDescent="0.25">
      <c r="A45" s="55">
        <v>45</v>
      </c>
      <c r="B45" s="124">
        <v>405531</v>
      </c>
      <c r="C45" s="56">
        <v>8865</v>
      </c>
      <c r="D45" s="124">
        <v>405531</v>
      </c>
      <c r="E45" s="207"/>
      <c r="F45" s="207"/>
      <c r="G45" s="207"/>
      <c r="H45" s="207"/>
      <c r="I45" s="207"/>
      <c r="J45" s="207"/>
    </row>
    <row r="46" spans="1:10" ht="15.75" x14ac:dyDescent="0.25">
      <c r="A46" s="55">
        <v>46</v>
      </c>
      <c r="B46" s="124">
        <v>414682</v>
      </c>
      <c r="C46" s="56">
        <v>9109</v>
      </c>
      <c r="D46" s="124">
        <v>414682</v>
      </c>
      <c r="E46" s="207"/>
      <c r="F46" s="207"/>
      <c r="G46" s="207"/>
      <c r="H46" s="207"/>
      <c r="I46" s="207"/>
      <c r="J46" s="207"/>
    </row>
    <row r="47" spans="1:10" ht="15.75" x14ac:dyDescent="0.25">
      <c r="A47" s="55">
        <v>47</v>
      </c>
      <c r="B47" s="124">
        <v>422063</v>
      </c>
      <c r="C47" s="56">
        <v>7348</v>
      </c>
      <c r="D47" s="124">
        <v>422063</v>
      </c>
      <c r="E47" s="207"/>
      <c r="F47" s="207"/>
      <c r="G47" s="207"/>
      <c r="H47" s="207"/>
      <c r="I47" s="207"/>
      <c r="J47" s="207"/>
    </row>
    <row r="48" spans="1:10" ht="15.75" x14ac:dyDescent="0.25">
      <c r="A48" s="55">
        <v>48</v>
      </c>
      <c r="B48" s="124">
        <v>441464</v>
      </c>
      <c r="C48" s="56">
        <v>19313</v>
      </c>
      <c r="D48" s="124">
        <v>441464</v>
      </c>
      <c r="E48" s="207"/>
      <c r="F48" s="207"/>
      <c r="G48" s="207"/>
      <c r="H48" s="207"/>
      <c r="I48" s="207"/>
      <c r="J48" s="207"/>
    </row>
    <row r="49" spans="1:10" ht="15.75" x14ac:dyDescent="0.25">
      <c r="A49" s="55">
        <v>49</v>
      </c>
      <c r="B49" s="124">
        <v>471091</v>
      </c>
      <c r="C49" s="56">
        <v>29492</v>
      </c>
      <c r="D49" s="124">
        <v>471091</v>
      </c>
      <c r="E49" s="207"/>
      <c r="F49" s="207"/>
      <c r="G49" s="207"/>
      <c r="H49" s="207"/>
      <c r="I49" s="207"/>
      <c r="J49" s="207"/>
    </row>
    <row r="50" spans="1:10" ht="15.75" x14ac:dyDescent="0.25">
      <c r="A50" s="55">
        <v>50</v>
      </c>
      <c r="B50" s="124">
        <v>503977</v>
      </c>
      <c r="C50" s="56">
        <v>32736</v>
      </c>
      <c r="D50" s="124">
        <v>503977</v>
      </c>
      <c r="E50" s="207"/>
      <c r="F50" s="207"/>
      <c r="G50" s="207"/>
      <c r="H50" s="207"/>
      <c r="I50" s="207"/>
      <c r="J50" s="207"/>
    </row>
    <row r="51" spans="1:10" ht="15.75" x14ac:dyDescent="0.25">
      <c r="A51" s="55">
        <v>51</v>
      </c>
      <c r="B51" s="124">
        <v>556679</v>
      </c>
      <c r="C51" s="56">
        <v>52463</v>
      </c>
      <c r="D51" s="124">
        <v>556679</v>
      </c>
      <c r="E51" s="207"/>
      <c r="F51" s="207"/>
      <c r="G51" s="207"/>
      <c r="H51" s="207"/>
      <c r="I51" s="207"/>
      <c r="J51" s="207"/>
    </row>
    <row r="52" spans="1:10" ht="15.75" x14ac:dyDescent="0.25">
      <c r="A52" s="55">
        <v>52</v>
      </c>
      <c r="B52" s="124">
        <v>633432</v>
      </c>
      <c r="C52" s="56">
        <v>76403</v>
      </c>
      <c r="D52" s="124">
        <v>633432</v>
      </c>
      <c r="E52" s="207"/>
      <c r="F52" s="207"/>
      <c r="G52" s="207"/>
      <c r="H52" s="207"/>
      <c r="I52" s="207"/>
      <c r="J52" s="207"/>
    </row>
    <row r="53" spans="1:10" ht="15.75" x14ac:dyDescent="0.25">
      <c r="A53" s="55">
        <v>53</v>
      </c>
      <c r="B53" s="124">
        <v>695484</v>
      </c>
      <c r="C53" s="56">
        <v>61770</v>
      </c>
      <c r="D53" s="124">
        <v>695484</v>
      </c>
      <c r="E53" s="207"/>
      <c r="F53" s="207"/>
      <c r="G53" s="207"/>
      <c r="H53" s="207"/>
      <c r="I53" s="207"/>
      <c r="J53" s="207"/>
    </row>
    <row r="54" spans="1:10" ht="15.75" x14ac:dyDescent="0.25">
      <c r="A54" s="34"/>
      <c r="B54" s="35"/>
      <c r="C54" s="7"/>
      <c r="E54" s="207"/>
      <c r="F54" s="207"/>
      <c r="G54" s="207"/>
      <c r="H54" s="207"/>
      <c r="I54" s="207"/>
      <c r="J54" s="207"/>
    </row>
    <row r="55" spans="1:10" x14ac:dyDescent="0.2">
      <c r="B55" s="48" t="s">
        <v>1</v>
      </c>
      <c r="C55" s="49" t="str">
        <f>B20</f>
        <v xml:space="preserve"> 1.10.2015 </v>
      </c>
      <c r="E55" s="207"/>
      <c r="F55" s="207"/>
      <c r="G55" s="207"/>
      <c r="H55" s="207"/>
      <c r="I55" s="207"/>
      <c r="J55" s="207"/>
    </row>
    <row r="56" spans="1:10" x14ac:dyDescent="0.2">
      <c r="B56" s="51">
        <f>C22</f>
        <v>1</v>
      </c>
      <c r="C56" s="51">
        <f>B22</f>
        <v>1.3113330000000001</v>
      </c>
      <c r="E56" s="207"/>
      <c r="F56" s="207"/>
      <c r="G56" s="207"/>
      <c r="H56" s="207"/>
      <c r="I56" s="207"/>
      <c r="J56" s="207"/>
    </row>
    <row r="57" spans="1:10" x14ac:dyDescent="0.2">
      <c r="A57">
        <v>3000</v>
      </c>
      <c r="B57" s="50">
        <v>3000</v>
      </c>
      <c r="C57" s="50">
        <f t="shared" ref="C57:C93" si="0">ROUND($B$22*B57,2)</f>
        <v>3934</v>
      </c>
      <c r="E57" s="207"/>
      <c r="F57" s="207"/>
      <c r="G57" s="207"/>
      <c r="H57" s="207"/>
      <c r="I57" s="207"/>
      <c r="J57" s="207"/>
    </row>
    <row r="58" spans="1:10" ht="15.75" customHeight="1" x14ac:dyDescent="0.2">
      <c r="A58">
        <v>2000</v>
      </c>
      <c r="B58" s="31">
        <v>2000</v>
      </c>
      <c r="C58" s="31">
        <f t="shared" si="0"/>
        <v>2622.67</v>
      </c>
      <c r="E58" s="456" t="s">
        <v>12</v>
      </c>
      <c r="F58" s="457"/>
      <c r="G58" s="458"/>
    </row>
    <row r="59" spans="1:10" ht="15.75" thickBot="1" x14ac:dyDescent="0.25">
      <c r="A59">
        <v>7000</v>
      </c>
      <c r="B59" s="31">
        <v>7000</v>
      </c>
      <c r="C59" s="31">
        <f t="shared" si="0"/>
        <v>9179.33</v>
      </c>
      <c r="E59" s="459"/>
      <c r="F59" s="460"/>
      <c r="G59" s="461"/>
    </row>
    <row r="60" spans="1:10" x14ac:dyDescent="0.2">
      <c r="A60">
        <v>10000</v>
      </c>
      <c r="B60" s="31">
        <v>10000</v>
      </c>
      <c r="C60" s="31">
        <f t="shared" si="0"/>
        <v>13113.33</v>
      </c>
    </row>
    <row r="61" spans="1:10" ht="15.75" x14ac:dyDescent="0.25">
      <c r="A61">
        <v>13000</v>
      </c>
      <c r="B61" s="31">
        <v>13000</v>
      </c>
      <c r="C61" s="31">
        <f t="shared" si="0"/>
        <v>17047.330000000002</v>
      </c>
      <c r="D61" s="1"/>
    </row>
    <row r="62" spans="1:10" s="148" customFormat="1" ht="15.75" x14ac:dyDescent="0.25">
      <c r="B62" s="31"/>
      <c r="C62" s="31"/>
      <c r="D62" s="1"/>
    </row>
    <row r="63" spans="1:10" s="148" customFormat="1" ht="15.75" x14ac:dyDescent="0.25">
      <c r="A63" s="153" t="s">
        <v>95</v>
      </c>
      <c r="B63" s="31"/>
      <c r="C63" s="31"/>
      <c r="D63" s="1"/>
    </row>
    <row r="64" spans="1:10" s="148" customFormat="1" ht="15.75" x14ac:dyDescent="0.25">
      <c r="A64" s="153" t="s">
        <v>194</v>
      </c>
      <c r="B64" s="155">
        <v>13000</v>
      </c>
      <c r="C64" s="154">
        <f t="shared" si="0"/>
        <v>17047.330000000002</v>
      </c>
      <c r="D64" s="1"/>
    </row>
    <row r="65" spans="1:4" s="148" customFormat="1" ht="15.75" x14ac:dyDescent="0.25">
      <c r="A65" s="153" t="s">
        <v>195</v>
      </c>
      <c r="B65" s="155">
        <v>15400</v>
      </c>
      <c r="C65" s="154">
        <f t="shared" si="0"/>
        <v>20194.53</v>
      </c>
      <c r="D65" s="1"/>
    </row>
    <row r="66" spans="1:4" s="148" customFormat="1" ht="15.75" x14ac:dyDescent="0.25">
      <c r="A66" s="153" t="s">
        <v>193</v>
      </c>
      <c r="B66" s="155">
        <v>18400</v>
      </c>
      <c r="C66" s="154">
        <f t="shared" si="0"/>
        <v>24128.53</v>
      </c>
      <c r="D66" s="1"/>
    </row>
    <row r="67" spans="1:4" s="148" customFormat="1" ht="15.75" x14ac:dyDescent="0.25">
      <c r="A67" s="153"/>
      <c r="B67" s="155"/>
      <c r="C67" s="154">
        <f t="shared" si="0"/>
        <v>0</v>
      </c>
      <c r="D67" s="1"/>
    </row>
    <row r="68" spans="1:4" s="148" customFormat="1" ht="15.75" x14ac:dyDescent="0.25">
      <c r="B68" s="31"/>
      <c r="C68" s="31"/>
      <c r="D68" s="1"/>
    </row>
    <row r="69" spans="1:4" s="317" customFormat="1" x14ac:dyDescent="0.2">
      <c r="A69" s="317" t="s">
        <v>181</v>
      </c>
      <c r="B69" s="32">
        <v>13000</v>
      </c>
      <c r="C69" s="31">
        <f>ROUND($B$22*B69,2)</f>
        <v>17047.330000000002</v>
      </c>
      <c r="D69" s="128" t="s">
        <v>182</v>
      </c>
    </row>
    <row r="70" spans="1:4" s="317" customFormat="1" x14ac:dyDescent="0.2">
      <c r="A70" s="317" t="s">
        <v>183</v>
      </c>
      <c r="B70" s="32">
        <v>90</v>
      </c>
      <c r="C70" s="31">
        <f>ROUND($B$22*B70,2)</f>
        <v>118.02</v>
      </c>
      <c r="D70" s="317" t="s">
        <v>184</v>
      </c>
    </row>
    <row r="71" spans="1:4" s="317" customFormat="1" ht="15.75" x14ac:dyDescent="0.25">
      <c r="B71" s="31"/>
      <c r="C71" s="31"/>
      <c r="D71" s="1"/>
    </row>
    <row r="72" spans="1:4" s="148" customFormat="1" ht="15.75" x14ac:dyDescent="0.25">
      <c r="A72" s="153" t="s">
        <v>96</v>
      </c>
      <c r="B72" s="31"/>
      <c r="C72" s="31"/>
      <c r="D72" s="1"/>
    </row>
    <row r="73" spans="1:4" s="148" customFormat="1" ht="15.75" x14ac:dyDescent="0.25">
      <c r="A73" s="153" t="s">
        <v>194</v>
      </c>
      <c r="B73" s="155">
        <v>5500</v>
      </c>
      <c r="C73" s="154">
        <f t="shared" ref="C73:C89" si="1">ROUND($B$22*B73,2)</f>
        <v>7212.33</v>
      </c>
      <c r="D73" s="1"/>
    </row>
    <row r="74" spans="1:4" s="148" customFormat="1" ht="15.75" x14ac:dyDescent="0.25">
      <c r="A74" s="153" t="s">
        <v>195</v>
      </c>
      <c r="B74" s="155">
        <v>7900</v>
      </c>
      <c r="C74" s="154">
        <f t="shared" si="1"/>
        <v>10359.530000000001</v>
      </c>
      <c r="D74" s="1"/>
    </row>
    <row r="75" spans="1:4" s="148" customFormat="1" ht="15.75" x14ac:dyDescent="0.25">
      <c r="A75" s="153" t="s">
        <v>193</v>
      </c>
      <c r="B75" s="155">
        <v>10900</v>
      </c>
      <c r="C75" s="154">
        <f t="shared" si="1"/>
        <v>14293.53</v>
      </c>
      <c r="D75" s="1"/>
    </row>
    <row r="76" spans="1:4" s="148" customFormat="1" ht="15.75" x14ac:dyDescent="0.25">
      <c r="A76" s="153"/>
      <c r="B76" s="155"/>
      <c r="C76" s="154">
        <f t="shared" si="1"/>
        <v>0</v>
      </c>
      <c r="D76" s="1"/>
    </row>
    <row r="77" spans="1:4" s="148" customFormat="1" ht="15.75" x14ac:dyDescent="0.25">
      <c r="B77" s="31"/>
      <c r="C77" s="31"/>
      <c r="D77" s="1"/>
    </row>
    <row r="78" spans="1:4" s="148" customFormat="1" ht="15.75" x14ac:dyDescent="0.25">
      <c r="A78" s="153" t="s">
        <v>97</v>
      </c>
      <c r="B78" s="155">
        <v>1600</v>
      </c>
      <c r="C78" s="154">
        <f t="shared" si="1"/>
        <v>2098.13</v>
      </c>
      <c r="D78" s="1" t="s">
        <v>98</v>
      </c>
    </row>
    <row r="79" spans="1:4" s="148" customFormat="1" ht="15.75" x14ac:dyDescent="0.25">
      <c r="B79" s="155">
        <v>300</v>
      </c>
      <c r="C79" s="154">
        <f t="shared" si="1"/>
        <v>393.4</v>
      </c>
      <c r="D79" s="1" t="s">
        <v>99</v>
      </c>
    </row>
    <row r="80" spans="1:4" s="148" customFormat="1" ht="15.75" x14ac:dyDescent="0.25">
      <c r="B80" s="31"/>
      <c r="C80" s="31"/>
      <c r="D80" s="1"/>
    </row>
    <row r="81" spans="1:4" s="148" customFormat="1" ht="15.75" x14ac:dyDescent="0.25">
      <c r="A81" s="153" t="s">
        <v>100</v>
      </c>
      <c r="B81" s="155">
        <v>24000</v>
      </c>
      <c r="C81" s="154">
        <f t="shared" si="1"/>
        <v>31471.99</v>
      </c>
      <c r="D81" s="1"/>
    </row>
    <row r="82" spans="1:4" s="148" customFormat="1" ht="15.75" x14ac:dyDescent="0.25">
      <c r="A82" s="153" t="s">
        <v>101</v>
      </c>
      <c r="B82" s="155">
        <v>17000</v>
      </c>
      <c r="C82" s="154">
        <f t="shared" si="1"/>
        <v>22292.66</v>
      </c>
      <c r="D82" s="1"/>
    </row>
    <row r="83" spans="1:4" s="148" customFormat="1" ht="15.75" x14ac:dyDescent="0.25">
      <c r="A83" s="153" t="s">
        <v>102</v>
      </c>
      <c r="B83" s="155">
        <v>10000</v>
      </c>
      <c r="C83" s="154">
        <f t="shared" si="1"/>
        <v>13113.33</v>
      </c>
      <c r="D83" s="1" t="s">
        <v>103</v>
      </c>
    </row>
    <row r="84" spans="1:4" s="148" customFormat="1" ht="15.75" x14ac:dyDescent="0.25">
      <c r="A84" s="153" t="str">
        <f>A83</f>
        <v>TR ny løn</v>
      </c>
      <c r="B84" s="155">
        <v>100</v>
      </c>
      <c r="C84" s="154">
        <f t="shared" si="1"/>
        <v>131.13</v>
      </c>
      <c r="D84" s="1" t="s">
        <v>104</v>
      </c>
    </row>
    <row r="85" spans="1:4" s="148" customFormat="1" ht="15.75" x14ac:dyDescent="0.25">
      <c r="A85" s="153" t="s">
        <v>105</v>
      </c>
      <c r="B85" s="155">
        <v>75</v>
      </c>
      <c r="C85" s="154">
        <f t="shared" si="1"/>
        <v>98.35</v>
      </c>
      <c r="D85" s="1" t="str">
        <f>D84</f>
        <v>pr medarb.</v>
      </c>
    </row>
    <row r="86" spans="1:4" s="148" customFormat="1" ht="15.75" x14ac:dyDescent="0.25">
      <c r="A86" s="153" t="s">
        <v>106</v>
      </c>
      <c r="B86" s="155">
        <v>3000</v>
      </c>
      <c r="C86" s="155">
        <f t="shared" si="1"/>
        <v>3934</v>
      </c>
      <c r="D86" s="1"/>
    </row>
    <row r="87" spans="1:4" s="148" customFormat="1" ht="15.75" x14ac:dyDescent="0.25">
      <c r="A87" s="153" t="s">
        <v>124</v>
      </c>
      <c r="B87" s="155">
        <v>1000</v>
      </c>
      <c r="C87" s="155">
        <f t="shared" ref="C87" si="2">ROUND($B$22*B87,2)</f>
        <v>1311.33</v>
      </c>
      <c r="D87" s="1"/>
    </row>
    <row r="88" spans="1:4" s="148" customFormat="1" ht="15.75" x14ac:dyDescent="0.25">
      <c r="A88" s="153" t="s">
        <v>107</v>
      </c>
      <c r="B88" s="155">
        <v>3000</v>
      </c>
      <c r="C88" s="155">
        <f t="shared" si="1"/>
        <v>3934</v>
      </c>
      <c r="D88" s="1"/>
    </row>
    <row r="89" spans="1:4" s="148" customFormat="1" ht="15.75" x14ac:dyDescent="0.25">
      <c r="A89" s="153" t="s">
        <v>108</v>
      </c>
      <c r="B89" s="155">
        <v>1500</v>
      </c>
      <c r="C89" s="155">
        <f t="shared" si="1"/>
        <v>1967</v>
      </c>
      <c r="D89" s="1"/>
    </row>
    <row r="90" spans="1:4" s="148" customFormat="1" ht="15.75" x14ac:dyDescent="0.25">
      <c r="B90" s="31"/>
      <c r="C90" s="31"/>
      <c r="D90" s="1"/>
    </row>
    <row r="91" spans="1:4" s="127" customFormat="1" ht="15.75" x14ac:dyDescent="0.25">
      <c r="A91" s="153" t="s">
        <v>94</v>
      </c>
      <c r="B91" s="155">
        <v>8300</v>
      </c>
      <c r="C91" s="155">
        <f t="shared" si="0"/>
        <v>10884.06</v>
      </c>
      <c r="D91" s="1" t="s">
        <v>110</v>
      </c>
    </row>
    <row r="92" spans="1:4" ht="15.75" x14ac:dyDescent="0.25">
      <c r="A92" s="153" t="str">
        <f t="shared" ref="A92:A93" si="3">A91</f>
        <v>Særligt tillæg</v>
      </c>
      <c r="B92" s="155">
        <v>5900</v>
      </c>
      <c r="C92" s="155">
        <f>ROUND($B$22*B92,2)</f>
        <v>7736.86</v>
      </c>
      <c r="D92" s="1" t="s">
        <v>109</v>
      </c>
    </row>
    <row r="93" spans="1:4" ht="15.75" x14ac:dyDescent="0.25">
      <c r="A93" s="153" t="str">
        <f t="shared" si="3"/>
        <v>Særligt tillæg</v>
      </c>
      <c r="B93" s="155">
        <v>2450</v>
      </c>
      <c r="C93" s="155">
        <f t="shared" si="0"/>
        <v>3212.77</v>
      </c>
      <c r="D93" s="1" t="s">
        <v>178</v>
      </c>
    </row>
    <row r="95" spans="1:4" ht="15.75" x14ac:dyDescent="0.25">
      <c r="A95" s="153" t="s">
        <v>111</v>
      </c>
      <c r="B95" s="156">
        <v>7200</v>
      </c>
      <c r="C95" s="155">
        <f>ROUND($B$22*B95,2)</f>
        <v>9441.6</v>
      </c>
      <c r="D95" s="1"/>
    </row>
    <row r="96" spans="1:4" x14ac:dyDescent="0.2">
      <c r="B96" s="33"/>
      <c r="C96" s="31"/>
    </row>
    <row r="97" spans="1:5" x14ac:dyDescent="0.2">
      <c r="A97" t="s">
        <v>45</v>
      </c>
      <c r="B97" s="32">
        <v>28300</v>
      </c>
      <c r="C97" s="31">
        <f>ROUND($B$22*B97,2)</f>
        <v>37110.720000000001</v>
      </c>
    </row>
    <row r="98" spans="1:5" s="127" customFormat="1" x14ac:dyDescent="0.2">
      <c r="A98" s="127" t="s">
        <v>2</v>
      </c>
      <c r="B98" s="32">
        <v>127.33</v>
      </c>
      <c r="C98" s="31">
        <f t="shared" ref="C98:C110" si="4">ROUND($B$22*B98,2)</f>
        <v>166.97</v>
      </c>
    </row>
    <row r="99" spans="1:5" s="127" customFormat="1" ht="15" customHeight="1" x14ac:dyDescent="0.2">
      <c r="A99" s="127" t="s">
        <v>3</v>
      </c>
      <c r="B99" s="32">
        <v>289.62</v>
      </c>
      <c r="C99" s="31">
        <f t="shared" si="4"/>
        <v>379.79</v>
      </c>
    </row>
    <row r="100" spans="1:5" s="127" customFormat="1" ht="15.75" x14ac:dyDescent="0.25">
      <c r="A100" s="128" t="s">
        <v>114</v>
      </c>
      <c r="B100" s="32">
        <v>18600</v>
      </c>
      <c r="C100" s="31">
        <f>ROUND($B$22*B100,2)</f>
        <v>24390.79</v>
      </c>
      <c r="D100" s="1" t="s">
        <v>113</v>
      </c>
    </row>
    <row r="101" spans="1:5" s="127" customFormat="1" ht="15.75" x14ac:dyDescent="0.25">
      <c r="A101" s="127" t="s">
        <v>49</v>
      </c>
      <c r="B101" s="32">
        <v>32.43</v>
      </c>
      <c r="C101" s="31">
        <f t="shared" si="4"/>
        <v>42.53</v>
      </c>
      <c r="D101" s="1"/>
    </row>
    <row r="102" spans="1:5" s="127" customFormat="1" ht="15" customHeight="1" x14ac:dyDescent="0.2">
      <c r="A102" s="128" t="s">
        <v>112</v>
      </c>
      <c r="B102" s="32">
        <v>18.920000000000002</v>
      </c>
      <c r="C102" s="31">
        <f>ROUND($B$22*B102,2)</f>
        <v>24.81</v>
      </c>
    </row>
    <row r="103" spans="1:5" s="127" customFormat="1" ht="15.75" x14ac:dyDescent="0.25">
      <c r="A103" s="127" t="s">
        <v>50</v>
      </c>
      <c r="B103" s="32">
        <v>15</v>
      </c>
      <c r="C103" s="31">
        <f t="shared" si="4"/>
        <v>19.670000000000002</v>
      </c>
      <c r="D103" s="1"/>
    </row>
    <row r="104" spans="1:5" s="127" customFormat="1" ht="15.75" x14ac:dyDescent="0.25">
      <c r="A104" s="127" t="s">
        <v>52</v>
      </c>
      <c r="B104" s="32">
        <v>25.84</v>
      </c>
      <c r="C104" s="31">
        <f t="shared" si="4"/>
        <v>33.880000000000003</v>
      </c>
      <c r="D104" s="1"/>
    </row>
    <row r="105" spans="1:5" s="148" customFormat="1" ht="15.75" x14ac:dyDescent="0.25">
      <c r="A105" s="148" t="s">
        <v>138</v>
      </c>
      <c r="B105" s="32">
        <v>2800</v>
      </c>
      <c r="C105" s="31">
        <f t="shared" si="4"/>
        <v>3671.73</v>
      </c>
      <c r="D105" s="1" t="s">
        <v>139</v>
      </c>
      <c r="E105" s="128"/>
    </row>
    <row r="106" spans="1:5" s="148" customFormat="1" ht="15.75" x14ac:dyDescent="0.25">
      <c r="A106" s="148" t="str">
        <f>A105</f>
        <v>175 komp</v>
      </c>
      <c r="B106" s="32">
        <v>3250</v>
      </c>
      <c r="C106" s="31">
        <f t="shared" si="4"/>
        <v>4261.83</v>
      </c>
      <c r="D106" s="1" t="s">
        <v>140</v>
      </c>
      <c r="E106" s="128"/>
    </row>
    <row r="107" spans="1:5" s="127" customFormat="1" x14ac:dyDescent="0.2">
      <c r="B107" s="32"/>
      <c r="C107" s="31"/>
    </row>
    <row r="108" spans="1:5" s="127" customFormat="1" x14ac:dyDescent="0.2">
      <c r="A108" s="127" t="s">
        <v>5</v>
      </c>
      <c r="B108" s="32">
        <v>10500</v>
      </c>
      <c r="C108" s="31" t="s">
        <v>85</v>
      </c>
    </row>
    <row r="109" spans="1:5" s="127" customFormat="1" x14ac:dyDescent="0.2">
      <c r="A109" s="127" t="s">
        <v>36</v>
      </c>
      <c r="B109" s="32">
        <v>235</v>
      </c>
      <c r="C109" s="31">
        <f t="shared" si="4"/>
        <v>308.16000000000003</v>
      </c>
    </row>
    <row r="110" spans="1:5" s="127" customFormat="1" x14ac:dyDescent="0.2">
      <c r="A110" s="127" t="s">
        <v>58</v>
      </c>
      <c r="B110" s="32">
        <v>10000</v>
      </c>
      <c r="C110" s="31">
        <f t="shared" si="4"/>
        <v>13113.33</v>
      </c>
    </row>
    <row r="111" spans="1:5" s="127" customFormat="1" x14ac:dyDescent="0.2">
      <c r="B111" s="32"/>
      <c r="C111" s="31"/>
    </row>
    <row r="112" spans="1:5" x14ac:dyDescent="0.2">
      <c r="A112" t="s">
        <v>23</v>
      </c>
      <c r="B112" s="32">
        <v>194.47</v>
      </c>
      <c r="C112" s="31">
        <f>ROUND($B$22*B112,2)</f>
        <v>255.01</v>
      </c>
      <c r="E112" s="3"/>
    </row>
    <row r="113" spans="1:5" x14ac:dyDescent="0.2">
      <c r="A113" t="s">
        <v>24</v>
      </c>
      <c r="B113" s="32">
        <v>185.4</v>
      </c>
      <c r="C113" s="31">
        <f>ROUND($B$22*B113,2)</f>
        <v>243.12</v>
      </c>
      <c r="E113" s="3"/>
    </row>
    <row r="114" spans="1:5" x14ac:dyDescent="0.2">
      <c r="A114" t="s">
        <v>25</v>
      </c>
      <c r="B114" s="32">
        <v>156.54</v>
      </c>
      <c r="C114" s="31">
        <f>ROUND($B$22*B114,2)</f>
        <v>205.28</v>
      </c>
      <c r="E114" s="3"/>
    </row>
    <row r="115" spans="1:5" x14ac:dyDescent="0.2">
      <c r="A115" t="s">
        <v>22</v>
      </c>
      <c r="B115" s="32">
        <v>6</v>
      </c>
      <c r="C115" s="31">
        <f>ROUND($B$22*B115,2)</f>
        <v>7.87</v>
      </c>
      <c r="E115" s="3"/>
    </row>
    <row r="116" spans="1:5" ht="15.75" thickBot="1" x14ac:dyDescent="0.25">
      <c r="A116" t="s">
        <v>21</v>
      </c>
      <c r="B116" s="140">
        <v>3</v>
      </c>
      <c r="C116" s="141">
        <f>ROUND($B$22*B116,2)</f>
        <v>3.93</v>
      </c>
    </row>
    <row r="117" spans="1:5" ht="15.75" x14ac:dyDescent="0.25">
      <c r="A117" s="134" t="s">
        <v>10</v>
      </c>
      <c r="B117" s="142"/>
      <c r="C117" s="143"/>
      <c r="D117" s="144"/>
    </row>
    <row r="118" spans="1:5" ht="15.75" x14ac:dyDescent="0.25">
      <c r="A118" s="135" t="s">
        <v>11</v>
      </c>
      <c r="B118" s="21"/>
      <c r="C118" s="22"/>
      <c r="D118" s="136"/>
    </row>
    <row r="119" spans="1:5" ht="16.5" thickBot="1" x14ac:dyDescent="0.3">
      <c r="A119" s="137" t="s">
        <v>12</v>
      </c>
      <c r="B119" s="145"/>
      <c r="C119" s="138"/>
      <c r="D119" s="139"/>
    </row>
    <row r="121" spans="1:5" x14ac:dyDescent="0.2">
      <c r="A121" s="244" t="s">
        <v>160</v>
      </c>
      <c r="B121" s="32">
        <v>26.12</v>
      </c>
      <c r="C121" s="31">
        <f t="shared" ref="C121" si="5">ROUND($B$22*B121,2)</f>
        <v>34.25</v>
      </c>
    </row>
    <row r="122" spans="1:5" x14ac:dyDescent="0.2">
      <c r="A122" s="209"/>
    </row>
    <row r="123" spans="1:5" x14ac:dyDescent="0.2">
      <c r="A123" s="209"/>
    </row>
  </sheetData>
  <mergeCells count="1">
    <mergeCell ref="E58:G59"/>
  </mergeCells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INTRO</vt:lpstr>
      <vt:lpstr> BHKL NY LØN</vt:lpstr>
      <vt:lpstr>BHKL GL LØN</vt:lpstr>
      <vt:lpstr>LÆRER NY LØN </vt:lpstr>
      <vt:lpstr>LÆRER GL LØN </vt:lpstr>
      <vt:lpstr>Lejrskole, ulempe, weekend</vt:lpstr>
      <vt:lpstr>Dage</vt:lpstr>
      <vt:lpstr>DATABANK</vt:lpstr>
      <vt:lpstr>' BHKL NY LØN'!Udskriftsområde</vt:lpstr>
      <vt:lpstr>'BHKL GL LØN'!Udskriftsområde</vt:lpstr>
      <vt:lpstr>DATABANK!Udskriftsområde</vt:lpstr>
      <vt:lpstr>'LÆRER NY LØN 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Morten Refskov</cp:lastModifiedBy>
  <cp:lastPrinted>2011-09-07T15:31:00Z</cp:lastPrinted>
  <dcterms:created xsi:type="dcterms:W3CDTF">1999-08-18T13:04:59Z</dcterms:created>
  <dcterms:modified xsi:type="dcterms:W3CDTF">2015-11-02T14:35:38Z</dcterms:modified>
</cp:coreProperties>
</file>